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 yWindow="-12" windowWidth="19236" windowHeight="12432" tabRatio="799" firstSheet="2" activeTab="2"/>
  </bookViews>
  <sheets>
    <sheet name="Reference Sheet" sheetId="5" state="hidden" r:id="rId1"/>
    <sheet name="HCM 2010 Program" sheetId="2" state="hidden" r:id="rId2"/>
    <sheet name="Step 1 - Introduction" sheetId="4" r:id="rId3"/>
    <sheet name="Step 2 - Facility Data Inputs" sheetId="7" r:id="rId4"/>
    <sheet name="WZ Analysis (Worksheet)" sheetId="8" state="hidden" r:id="rId5"/>
    <sheet name="Step 3 - WZ Analysis" sheetId="10" r:id="rId6"/>
    <sheet name="Step 4 - Synopsis Sheet" sheetId="3" r:id="rId7"/>
  </sheets>
  <definedNames>
    <definedName name="_xlnm.Print_Area" localSheetId="6">'Step 4 - Synopsis Sheet'!$A$1:$Q$51</definedName>
  </definedNames>
  <calcPr calcId="145621"/>
</workbook>
</file>

<file path=xl/calcChain.xml><?xml version="1.0" encoding="utf-8"?>
<calcChain xmlns="http://schemas.openxmlformats.org/spreadsheetml/2006/main">
  <c r="F21" i="7" l="1"/>
  <c r="G21" i="7"/>
  <c r="H21" i="7"/>
  <c r="I21" i="7"/>
  <c r="J21" i="7"/>
  <c r="K21" i="7"/>
  <c r="F20" i="7" l="1"/>
  <c r="G20" i="7"/>
  <c r="A49" i="10" s="1"/>
  <c r="H20" i="7"/>
  <c r="A24" i="3" s="1"/>
  <c r="I20" i="7"/>
  <c r="J20" i="7"/>
  <c r="K20" i="7"/>
  <c r="A137" i="10" s="1"/>
  <c r="E20" i="7"/>
  <c r="E19" i="7"/>
  <c r="E21" i="7" s="1"/>
  <c r="K19" i="7"/>
  <c r="A45" i="3" s="1"/>
  <c r="J19" i="7"/>
  <c r="A38" i="3" s="1"/>
  <c r="I19" i="7"/>
  <c r="A32" i="3" s="1"/>
  <c r="H19" i="7"/>
  <c r="A25" i="3" s="1"/>
  <c r="G19" i="7"/>
  <c r="A17" i="3" s="1"/>
  <c r="F19" i="7"/>
  <c r="A10" i="3" s="1"/>
  <c r="A71" i="10" l="1"/>
  <c r="A11" i="3"/>
  <c r="A39" i="3"/>
  <c r="A93" i="10"/>
  <c r="A18" i="3"/>
  <c r="A46" i="3"/>
  <c r="A31" i="3"/>
  <c r="A27" i="10"/>
  <c r="A115" i="10"/>
  <c r="A4" i="3"/>
  <c r="A5" i="10"/>
  <c r="A3" i="3"/>
  <c r="D145" i="10"/>
  <c r="D123" i="10"/>
  <c r="D101" i="10"/>
  <c r="D79" i="10"/>
  <c r="D57" i="10"/>
  <c r="D35" i="10"/>
  <c r="D13" i="10"/>
  <c r="B46" i="3" l="1"/>
  <c r="B32" i="3"/>
  <c r="B39" i="3"/>
  <c r="B25" i="3"/>
  <c r="B18" i="3"/>
  <c r="B11" i="3"/>
  <c r="B4" i="3"/>
  <c r="A2" i="3"/>
  <c r="B5" i="3"/>
  <c r="B6" i="3"/>
  <c r="B8" i="3"/>
  <c r="B9" i="3"/>
  <c r="J17" i="8"/>
  <c r="J16" i="8"/>
  <c r="K197" i="8"/>
  <c r="K198" i="8"/>
  <c r="K199" i="8"/>
  <c r="K200" i="8"/>
  <c r="K201" i="8"/>
  <c r="K202" i="8"/>
  <c r="K203" i="8"/>
  <c r="K204" i="8"/>
  <c r="K205" i="8"/>
  <c r="K206" i="8"/>
  <c r="K207" i="8"/>
  <c r="K208" i="8"/>
  <c r="K209" i="8"/>
  <c r="K210" i="8"/>
  <c r="K211" i="8"/>
  <c r="K212" i="8"/>
  <c r="K213" i="8"/>
  <c r="K214" i="8"/>
  <c r="K215" i="8"/>
  <c r="K216" i="8"/>
  <c r="K217" i="8"/>
  <c r="K218" i="8"/>
  <c r="K219" i="8"/>
  <c r="K196" i="8"/>
  <c r="G204" i="8"/>
  <c r="D206" i="8"/>
  <c r="D205" i="8"/>
  <c r="E204" i="8"/>
  <c r="D200" i="8"/>
  <c r="G200" i="8" s="1"/>
  <c r="D201" i="8"/>
  <c r="G201" i="8" s="1"/>
  <c r="D202" i="8"/>
  <c r="D199" i="8"/>
  <c r="D196" i="8"/>
  <c r="AG198" i="8"/>
  <c r="H194" i="8"/>
  <c r="K168" i="8"/>
  <c r="K169" i="8"/>
  <c r="K170" i="8"/>
  <c r="K171" i="8"/>
  <c r="K172" i="8"/>
  <c r="K173" i="8"/>
  <c r="K174" i="8"/>
  <c r="K175" i="8"/>
  <c r="K176" i="8"/>
  <c r="K177" i="8"/>
  <c r="K178" i="8"/>
  <c r="K179" i="8"/>
  <c r="K180" i="8"/>
  <c r="K181" i="8"/>
  <c r="K182" i="8"/>
  <c r="K183" i="8"/>
  <c r="K184" i="8"/>
  <c r="K185" i="8"/>
  <c r="K186" i="8"/>
  <c r="K187" i="8"/>
  <c r="K188" i="8"/>
  <c r="K189" i="8"/>
  <c r="K190" i="8"/>
  <c r="K167" i="8"/>
  <c r="G175" i="8"/>
  <c r="D177" i="8"/>
  <c r="D176" i="8"/>
  <c r="E175" i="8"/>
  <c r="D173" i="8"/>
  <c r="D172" i="8"/>
  <c r="G172" i="8" s="1"/>
  <c r="D171" i="8"/>
  <c r="G171" i="8" s="1"/>
  <c r="D170" i="8"/>
  <c r="D167" i="8"/>
  <c r="AG169" i="8"/>
  <c r="H165" i="8"/>
  <c r="K139" i="8"/>
  <c r="K140" i="8"/>
  <c r="K141" i="8"/>
  <c r="K142" i="8"/>
  <c r="K143" i="8"/>
  <c r="K144" i="8"/>
  <c r="K145" i="8"/>
  <c r="K146" i="8"/>
  <c r="K147" i="8"/>
  <c r="K148" i="8"/>
  <c r="K149" i="8"/>
  <c r="K150" i="8"/>
  <c r="K151" i="8"/>
  <c r="K152" i="8"/>
  <c r="K153" i="8"/>
  <c r="K154" i="8"/>
  <c r="K155" i="8"/>
  <c r="K156" i="8"/>
  <c r="K157" i="8"/>
  <c r="K158" i="8"/>
  <c r="K159" i="8"/>
  <c r="K160" i="8"/>
  <c r="K161" i="8"/>
  <c r="K138" i="8"/>
  <c r="T138" i="8" s="1"/>
  <c r="G146" i="8"/>
  <c r="D148" i="8"/>
  <c r="D147" i="8"/>
  <c r="E146" i="8"/>
  <c r="D144" i="8"/>
  <c r="D143" i="8"/>
  <c r="G143" i="8" s="1"/>
  <c r="D142" i="8"/>
  <c r="G142" i="8" s="1"/>
  <c r="D141" i="8"/>
  <c r="D138" i="8"/>
  <c r="AG140" i="8"/>
  <c r="H136" i="8"/>
  <c r="K110" i="8"/>
  <c r="K111" i="8"/>
  <c r="K112" i="8"/>
  <c r="K113" i="8"/>
  <c r="K114" i="8"/>
  <c r="K115" i="8"/>
  <c r="K116" i="8"/>
  <c r="K117" i="8"/>
  <c r="K118" i="8"/>
  <c r="K119" i="8"/>
  <c r="K120" i="8"/>
  <c r="K121" i="8"/>
  <c r="K122" i="8"/>
  <c r="K123" i="8"/>
  <c r="K124" i="8"/>
  <c r="K125" i="8"/>
  <c r="K126" i="8"/>
  <c r="K127" i="8"/>
  <c r="K128" i="8"/>
  <c r="K129" i="8"/>
  <c r="K130" i="8"/>
  <c r="K131" i="8"/>
  <c r="K132" i="8"/>
  <c r="K109" i="8"/>
  <c r="T109" i="8" s="1"/>
  <c r="T110" i="8" s="1"/>
  <c r="AG111" i="8"/>
  <c r="G117" i="8"/>
  <c r="D119" i="8"/>
  <c r="D118" i="8"/>
  <c r="E117" i="8"/>
  <c r="E59" i="8"/>
  <c r="D60" i="8"/>
  <c r="D61" i="8"/>
  <c r="D115" i="8"/>
  <c r="D114" i="8"/>
  <c r="G114" i="8" s="1"/>
  <c r="D113" i="8"/>
  <c r="G113" i="8" s="1"/>
  <c r="D112" i="8"/>
  <c r="D109" i="8"/>
  <c r="H107" i="8"/>
  <c r="D145" i="8" l="1"/>
  <c r="M109" i="8"/>
  <c r="T196" i="8"/>
  <c r="M196" i="8"/>
  <c r="T167" i="8"/>
  <c r="M167" i="8"/>
  <c r="M138" i="8"/>
  <c r="O138" i="8" s="1"/>
  <c r="V138" i="8"/>
  <c r="T139" i="8"/>
  <c r="T140" i="8" s="1"/>
  <c r="T141" i="8" s="1"/>
  <c r="T142" i="8" s="1"/>
  <c r="T143" i="8" s="1"/>
  <c r="T144" i="8" s="1"/>
  <c r="T145" i="8" s="1"/>
  <c r="T146" i="8" s="1"/>
  <c r="T147" i="8" s="1"/>
  <c r="T148" i="8" s="1"/>
  <c r="T149" i="8" s="1"/>
  <c r="T150" i="8" s="1"/>
  <c r="T151" i="8" s="1"/>
  <c r="T152" i="8" s="1"/>
  <c r="T153" i="8" s="1"/>
  <c r="T154" i="8" s="1"/>
  <c r="T155" i="8" s="1"/>
  <c r="T156" i="8" s="1"/>
  <c r="T157" i="8" s="1"/>
  <c r="T158" i="8" s="1"/>
  <c r="T159" i="8" s="1"/>
  <c r="T160" i="8" s="1"/>
  <c r="T161" i="8" s="1"/>
  <c r="V109" i="8"/>
  <c r="E13" i="7"/>
  <c r="O109" i="8" l="1"/>
  <c r="M110" i="8"/>
  <c r="M111" i="8" s="1"/>
  <c r="M112" i="8" s="1"/>
  <c r="M113" i="8" s="1"/>
  <c r="M139" i="8"/>
  <c r="M197" i="8"/>
  <c r="O196" i="8"/>
  <c r="V196" i="8"/>
  <c r="T197" i="8"/>
  <c r="T198" i="8" s="1"/>
  <c r="T199" i="8" s="1"/>
  <c r="T200" i="8" s="1"/>
  <c r="T201" i="8" s="1"/>
  <c r="T202" i="8" s="1"/>
  <c r="T203" i="8" s="1"/>
  <c r="T204" i="8" s="1"/>
  <c r="T205" i="8" s="1"/>
  <c r="T206" i="8" s="1"/>
  <c r="T207" i="8" s="1"/>
  <c r="T208" i="8" s="1"/>
  <c r="T209" i="8" s="1"/>
  <c r="T210" i="8" s="1"/>
  <c r="T211" i="8" s="1"/>
  <c r="T212" i="8" s="1"/>
  <c r="T213" i="8" s="1"/>
  <c r="T214" i="8" s="1"/>
  <c r="T215" i="8" s="1"/>
  <c r="T216" i="8" s="1"/>
  <c r="T217" i="8" s="1"/>
  <c r="T218" i="8" s="1"/>
  <c r="T219" i="8" s="1"/>
  <c r="V167" i="8"/>
  <c r="T168" i="8"/>
  <c r="T169" i="8" s="1"/>
  <c r="T170" i="8" s="1"/>
  <c r="T171" i="8" s="1"/>
  <c r="T172" i="8" s="1"/>
  <c r="T173" i="8" s="1"/>
  <c r="T174" i="8" s="1"/>
  <c r="T175" i="8" s="1"/>
  <c r="T176" i="8" s="1"/>
  <c r="T177" i="8" s="1"/>
  <c r="T178" i="8" s="1"/>
  <c r="T179" i="8" s="1"/>
  <c r="T180" i="8" s="1"/>
  <c r="T181" i="8" s="1"/>
  <c r="T182" i="8" s="1"/>
  <c r="T183" i="8" s="1"/>
  <c r="T184" i="8" s="1"/>
  <c r="T185" i="8" s="1"/>
  <c r="T186" i="8" s="1"/>
  <c r="T187" i="8" s="1"/>
  <c r="T188" i="8" s="1"/>
  <c r="T189" i="8" s="1"/>
  <c r="T190" i="8" s="1"/>
  <c r="M168" i="8"/>
  <c r="O167" i="8"/>
  <c r="Z138" i="8"/>
  <c r="T111" i="8"/>
  <c r="T112" i="8" s="1"/>
  <c r="T113" i="8" s="1"/>
  <c r="T114" i="8" s="1"/>
  <c r="T115" i="8" s="1"/>
  <c r="T116" i="8" s="1"/>
  <c r="T117" i="8" s="1"/>
  <c r="T118" i="8" s="1"/>
  <c r="T119" i="8" s="1"/>
  <c r="T120" i="8" s="1"/>
  <c r="T121" i="8" s="1"/>
  <c r="T122" i="8" s="1"/>
  <c r="T123" i="8" s="1"/>
  <c r="T124" i="8" s="1"/>
  <c r="T125" i="8" s="1"/>
  <c r="T126" i="8" s="1"/>
  <c r="T127" i="8" s="1"/>
  <c r="T128" i="8" s="1"/>
  <c r="T129" i="8" s="1"/>
  <c r="T130" i="8" s="1"/>
  <c r="T131" i="8" s="1"/>
  <c r="T132" i="8" s="1"/>
  <c r="D89" i="8"/>
  <c r="G89" i="8" s="1"/>
  <c r="D90" i="8"/>
  <c r="G90" i="8" s="1"/>
  <c r="D51" i="8"/>
  <c r="E3" i="2"/>
  <c r="K81" i="8"/>
  <c r="K82" i="8"/>
  <c r="K83" i="8"/>
  <c r="K84" i="8"/>
  <c r="K85" i="8"/>
  <c r="K86" i="8"/>
  <c r="K87" i="8"/>
  <c r="K88" i="8"/>
  <c r="K89" i="8"/>
  <c r="K90" i="8"/>
  <c r="K91" i="8"/>
  <c r="K92" i="8"/>
  <c r="K93" i="8"/>
  <c r="K94" i="8"/>
  <c r="K95" i="8"/>
  <c r="K96" i="8"/>
  <c r="K97" i="8"/>
  <c r="K98" i="8"/>
  <c r="K99" i="8"/>
  <c r="K100" i="8"/>
  <c r="K101" i="8"/>
  <c r="K102" i="8"/>
  <c r="K103" i="8"/>
  <c r="K80" i="8"/>
  <c r="T80" i="8" s="1"/>
  <c r="G88" i="8"/>
  <c r="E88" i="8"/>
  <c r="D86" i="8"/>
  <c r="D85" i="8"/>
  <c r="G85" i="8" s="1"/>
  <c r="D84" i="8"/>
  <c r="G84" i="8" s="1"/>
  <c r="D83" i="8"/>
  <c r="D80" i="8"/>
  <c r="AG82" i="8"/>
  <c r="H78" i="8"/>
  <c r="Z109" i="8" l="1"/>
  <c r="M140" i="8"/>
  <c r="T81" i="8"/>
  <c r="Z196" i="8"/>
  <c r="M198" i="8"/>
  <c r="M169" i="8"/>
  <c r="Z167" i="8"/>
  <c r="M80" i="8"/>
  <c r="M81" i="8" s="1"/>
  <c r="M114" i="8"/>
  <c r="D62" i="10"/>
  <c r="C23" i="3" s="1"/>
  <c r="C22" i="3" s="1"/>
  <c r="B16" i="3"/>
  <c r="B15" i="3"/>
  <c r="B13" i="3"/>
  <c r="B12" i="3"/>
  <c r="M141" i="8" l="1"/>
  <c r="M142" i="8" s="1"/>
  <c r="M199" i="8"/>
  <c r="M170" i="8"/>
  <c r="M115" i="8"/>
  <c r="D91" i="8"/>
  <c r="AG80" i="8"/>
  <c r="O80" i="8"/>
  <c r="T82" i="8"/>
  <c r="T83" i="8" s="1"/>
  <c r="T84" i="8" s="1"/>
  <c r="T85" i="8" s="1"/>
  <c r="T86" i="8" s="1"/>
  <c r="T87" i="8" s="1"/>
  <c r="T88" i="8" s="1"/>
  <c r="T89" i="8" s="1"/>
  <c r="T90" i="8" s="1"/>
  <c r="T91" i="8" s="1"/>
  <c r="T92" i="8" s="1"/>
  <c r="T93" i="8" s="1"/>
  <c r="T94" i="8" s="1"/>
  <c r="T95" i="8" s="1"/>
  <c r="T96" i="8" s="1"/>
  <c r="T97" i="8" s="1"/>
  <c r="T98" i="8" s="1"/>
  <c r="T99" i="8" s="1"/>
  <c r="T100" i="8" s="1"/>
  <c r="T101" i="8" s="1"/>
  <c r="T102" i="8" s="1"/>
  <c r="T103" i="8" s="1"/>
  <c r="V80" i="8"/>
  <c r="G59" i="8"/>
  <c r="D55" i="8"/>
  <c r="G55" i="8" s="1"/>
  <c r="K52" i="8"/>
  <c r="K53" i="8"/>
  <c r="K54" i="8"/>
  <c r="K55" i="8"/>
  <c r="K56" i="8"/>
  <c r="K57" i="8"/>
  <c r="K58" i="8"/>
  <c r="K59" i="8"/>
  <c r="K60" i="8"/>
  <c r="K61" i="8"/>
  <c r="K62" i="8"/>
  <c r="K63" i="8"/>
  <c r="K64" i="8"/>
  <c r="K65" i="8"/>
  <c r="K66" i="8"/>
  <c r="K67" i="8"/>
  <c r="K68" i="8"/>
  <c r="K69" i="8"/>
  <c r="K70" i="8"/>
  <c r="K71" i="8"/>
  <c r="K72" i="8"/>
  <c r="K73" i="8"/>
  <c r="K74" i="8"/>
  <c r="K51" i="8"/>
  <c r="M51" i="8" s="1"/>
  <c r="G61" i="8"/>
  <c r="G60" i="8"/>
  <c r="AG50" i="8" s="1"/>
  <c r="D57" i="8"/>
  <c r="D56" i="8"/>
  <c r="G56" i="8" s="1"/>
  <c r="D54" i="8"/>
  <c r="D25" i="8"/>
  <c r="M200" i="8" l="1"/>
  <c r="M171" i="8"/>
  <c r="M143" i="8"/>
  <c r="M116" i="8"/>
  <c r="Z80" i="8"/>
  <c r="M82" i="8"/>
  <c r="O51" i="8"/>
  <c r="M52" i="8"/>
  <c r="M53" i="8" s="1"/>
  <c r="D40" i="10"/>
  <c r="C16" i="3" s="1"/>
  <c r="C15" i="3" s="1"/>
  <c r="D22" i="8"/>
  <c r="G32" i="8"/>
  <c r="G31" i="8"/>
  <c r="D32" i="8"/>
  <c r="D31" i="8"/>
  <c r="E30" i="8"/>
  <c r="D27" i="8"/>
  <c r="G27" i="8" s="1"/>
  <c r="D26" i="8"/>
  <c r="G26" i="8" s="1"/>
  <c r="K22" i="8"/>
  <c r="T22" i="8" s="1"/>
  <c r="K23" i="8"/>
  <c r="K24" i="8"/>
  <c r="K25" i="8"/>
  <c r="M201" i="8" l="1"/>
  <c r="M172" i="8"/>
  <c r="M144" i="8"/>
  <c r="M117" i="8"/>
  <c r="D18" i="10"/>
  <c r="C9" i="3" s="1"/>
  <c r="C8" i="3" s="1"/>
  <c r="M83" i="8"/>
  <c r="D62" i="8"/>
  <c r="AG51" i="8"/>
  <c r="M22" i="8"/>
  <c r="O22" i="8" s="1"/>
  <c r="M54" i="8"/>
  <c r="T23" i="8"/>
  <c r="T24" i="8" s="1"/>
  <c r="T25" i="8" s="1"/>
  <c r="A3" i="10"/>
  <c r="I11" i="8"/>
  <c r="E47" i="7"/>
  <c r="K47" i="7"/>
  <c r="J47" i="7"/>
  <c r="I47" i="7"/>
  <c r="H47" i="7"/>
  <c r="G47" i="7"/>
  <c r="F47" i="7"/>
  <c r="G13" i="7"/>
  <c r="G30" i="8"/>
  <c r="AG16" i="8"/>
  <c r="M202" i="8" l="1"/>
  <c r="M173" i="8"/>
  <c r="M145" i="8"/>
  <c r="M118" i="8"/>
  <c r="I13" i="7"/>
  <c r="F19" i="2" s="1"/>
  <c r="M84" i="8"/>
  <c r="M23" i="8"/>
  <c r="M24" i="8" s="1"/>
  <c r="M25" i="8" s="1"/>
  <c r="M55" i="8"/>
  <c r="I12" i="8"/>
  <c r="D28" i="8"/>
  <c r="M203" i="8" l="1"/>
  <c r="M174" i="8"/>
  <c r="M146" i="8"/>
  <c r="M119" i="8"/>
  <c r="M85" i="8"/>
  <c r="M56" i="8"/>
  <c r="AG17" i="8"/>
  <c r="D33" i="8"/>
  <c r="E4" i="2"/>
  <c r="E5" i="2"/>
  <c r="E6" i="2"/>
  <c r="E7" i="2"/>
  <c r="E8" i="2"/>
  <c r="E9" i="2"/>
  <c r="E10" i="2"/>
  <c r="E11" i="2"/>
  <c r="E12" i="2"/>
  <c r="E13" i="2"/>
  <c r="E14" i="2"/>
  <c r="E15" i="2"/>
  <c r="E16" i="2"/>
  <c r="E17" i="2"/>
  <c r="E18" i="2"/>
  <c r="E19" i="2"/>
  <c r="H19" i="2" s="1"/>
  <c r="E20" i="2"/>
  <c r="T51" i="8"/>
  <c r="V51" i="8" s="1"/>
  <c r="Z51" i="8" s="1"/>
  <c r="K26" i="8"/>
  <c r="K27" i="8"/>
  <c r="K28" i="8"/>
  <c r="K29" i="8"/>
  <c r="K30" i="8"/>
  <c r="K31" i="8"/>
  <c r="K32" i="8"/>
  <c r="K33" i="8"/>
  <c r="K34" i="8"/>
  <c r="K35" i="8"/>
  <c r="K36" i="8"/>
  <c r="K37" i="8"/>
  <c r="K38" i="8"/>
  <c r="K39" i="8"/>
  <c r="K40" i="8"/>
  <c r="K41" i="8"/>
  <c r="K42" i="8"/>
  <c r="K43" i="8"/>
  <c r="K44" i="8"/>
  <c r="K45" i="8"/>
  <c r="AG53" i="8"/>
  <c r="AG54" i="8" s="1"/>
  <c r="AG18" i="8"/>
  <c r="I10" i="8"/>
  <c r="W109" i="8" l="1"/>
  <c r="F109" i="8"/>
  <c r="E73" i="10" s="1"/>
  <c r="F138" i="8"/>
  <c r="E95" i="10" s="1"/>
  <c r="W138" i="8"/>
  <c r="P167" i="8"/>
  <c r="P196" i="8"/>
  <c r="P109" i="8"/>
  <c r="W196" i="8"/>
  <c r="W167" i="8"/>
  <c r="AA167" i="8" s="1"/>
  <c r="P138" i="8"/>
  <c r="A136" i="8"/>
  <c r="A194" i="8"/>
  <c r="A165" i="8"/>
  <c r="A107" i="8"/>
  <c r="M204" i="8"/>
  <c r="M175" i="8"/>
  <c r="M147" i="8"/>
  <c r="W80" i="8"/>
  <c r="W51" i="8"/>
  <c r="M120" i="8"/>
  <c r="A78" i="8"/>
  <c r="P80" i="8"/>
  <c r="AA80" i="8" s="1"/>
  <c r="M86" i="8"/>
  <c r="A20" i="8"/>
  <c r="H20" i="8"/>
  <c r="A49" i="8"/>
  <c r="F22" i="8"/>
  <c r="E7" i="10" s="1"/>
  <c r="F51" i="8"/>
  <c r="P51" i="8"/>
  <c r="M57" i="8"/>
  <c r="L23" i="8"/>
  <c r="O23" i="8" s="1"/>
  <c r="L22" i="8"/>
  <c r="Q22" i="8" s="1"/>
  <c r="R22" i="8" s="1"/>
  <c r="L25" i="8"/>
  <c r="L24" i="8"/>
  <c r="P22" i="8"/>
  <c r="N22" i="8"/>
  <c r="M26" i="8"/>
  <c r="M27" i="8" s="1"/>
  <c r="H49" i="8"/>
  <c r="L36" i="8"/>
  <c r="L42" i="8"/>
  <c r="L29" i="8"/>
  <c r="L40" i="8"/>
  <c r="L33" i="8"/>
  <c r="L26" i="8"/>
  <c r="L39" i="8"/>
  <c r="L31" i="8"/>
  <c r="L45" i="8"/>
  <c r="L38" i="8"/>
  <c r="L43" i="8"/>
  <c r="AG19" i="8"/>
  <c r="L28" i="8"/>
  <c r="L44" i="8"/>
  <c r="L37" i="8"/>
  <c r="L30" i="8"/>
  <c r="L35" i="8"/>
  <c r="L32" i="8"/>
  <c r="L41" i="8"/>
  <c r="L34" i="8"/>
  <c r="L27" i="8"/>
  <c r="T52" i="8"/>
  <c r="T53" i="8" s="1"/>
  <c r="T54" i="8" s="1"/>
  <c r="T55" i="8" s="1"/>
  <c r="T56" i="8" s="1"/>
  <c r="T57" i="8" s="1"/>
  <c r="T58" i="8" s="1"/>
  <c r="T59" i="8" s="1"/>
  <c r="T60" i="8" s="1"/>
  <c r="T61" i="8" s="1"/>
  <c r="T62" i="8" s="1"/>
  <c r="T63" i="8" s="1"/>
  <c r="T64" i="8" s="1"/>
  <c r="T65" i="8" s="1"/>
  <c r="T66" i="8" s="1"/>
  <c r="T67" i="8" s="1"/>
  <c r="T68" i="8" s="1"/>
  <c r="T69" i="8" s="1"/>
  <c r="T70" i="8" s="1"/>
  <c r="T71" i="8" s="1"/>
  <c r="T72" i="8" s="1"/>
  <c r="T73" i="8" s="1"/>
  <c r="T74" i="8" s="1"/>
  <c r="F6" i="2"/>
  <c r="H6" i="2" s="1"/>
  <c r="F12" i="2"/>
  <c r="H12" i="2" s="1"/>
  <c r="F15" i="2"/>
  <c r="H15" i="2" s="1"/>
  <c r="F16" i="2"/>
  <c r="H16" i="2" s="1"/>
  <c r="F13" i="2"/>
  <c r="D116" i="8" s="1"/>
  <c r="F20" i="2"/>
  <c r="H20" i="2" s="1"/>
  <c r="F10" i="2"/>
  <c r="H10" i="2" s="1"/>
  <c r="F7" i="2"/>
  <c r="H7" i="2" s="1"/>
  <c r="F4" i="2"/>
  <c r="D29" i="8" s="1"/>
  <c r="F5" i="2"/>
  <c r="H5" i="2" s="1"/>
  <c r="F14" i="2"/>
  <c r="H14" i="2" s="1"/>
  <c r="F17" i="2"/>
  <c r="D174" i="8" s="1"/>
  <c r="F11" i="2"/>
  <c r="H11" i="2" s="1"/>
  <c r="F8" i="2"/>
  <c r="D58" i="8" s="1"/>
  <c r="F9" i="2"/>
  <c r="D87" i="8" s="1"/>
  <c r="F3" i="2"/>
  <c r="H3" i="2" s="1"/>
  <c r="F18" i="2"/>
  <c r="D203" i="8" s="1"/>
  <c r="F116" i="8" l="1"/>
  <c r="D80" i="10" s="1"/>
  <c r="S51" i="8"/>
  <c r="X51" i="8" s="1"/>
  <c r="Y51" i="8" s="1"/>
  <c r="E29" i="10"/>
  <c r="H18" i="2"/>
  <c r="H4" i="2"/>
  <c r="H8" i="2"/>
  <c r="H17" i="2"/>
  <c r="H9" i="2"/>
  <c r="AA109" i="8"/>
  <c r="H13" i="2"/>
  <c r="AA196" i="8"/>
  <c r="AA138" i="8"/>
  <c r="L146" i="8"/>
  <c r="L159" i="8"/>
  <c r="L138" i="8"/>
  <c r="L142" i="8"/>
  <c r="L149" i="8"/>
  <c r="L148" i="8"/>
  <c r="L140" i="8"/>
  <c r="L143" i="8"/>
  <c r="L154" i="8"/>
  <c r="L161" i="8"/>
  <c r="L145" i="8"/>
  <c r="L160" i="8"/>
  <c r="L144" i="8"/>
  <c r="L147" i="8"/>
  <c r="L155" i="8"/>
  <c r="L150" i="8"/>
  <c r="L157" i="8"/>
  <c r="L141" i="8"/>
  <c r="L156" i="8"/>
  <c r="L151" i="8"/>
  <c r="L139" i="8"/>
  <c r="L153" i="8"/>
  <c r="L158" i="8"/>
  <c r="L152" i="8"/>
  <c r="F145" i="8"/>
  <c r="D102" i="10" s="1"/>
  <c r="L132" i="8"/>
  <c r="L128" i="8"/>
  <c r="L110" i="8"/>
  <c r="O110" i="8" s="1"/>
  <c r="L126" i="8"/>
  <c r="L119" i="8"/>
  <c r="L112" i="8"/>
  <c r="L113" i="8"/>
  <c r="L129" i="8"/>
  <c r="L114" i="8"/>
  <c r="L130" i="8"/>
  <c r="L123" i="8"/>
  <c r="L120" i="8"/>
  <c r="L117" i="8"/>
  <c r="L109" i="8"/>
  <c r="L116" i="8"/>
  <c r="L118" i="8"/>
  <c r="L111" i="8"/>
  <c r="L127" i="8"/>
  <c r="L124" i="8"/>
  <c r="L121" i="8"/>
  <c r="L122" i="8"/>
  <c r="L115" i="8"/>
  <c r="L131" i="8"/>
  <c r="L125" i="8"/>
  <c r="F29" i="8"/>
  <c r="D14" i="10" s="1"/>
  <c r="F58" i="8"/>
  <c r="S57" i="8" s="1"/>
  <c r="M205" i="8"/>
  <c r="M176" i="8"/>
  <c r="M148" i="8"/>
  <c r="M121" i="8"/>
  <c r="S69" i="8"/>
  <c r="AA51" i="8"/>
  <c r="S22" i="8"/>
  <c r="M87" i="8"/>
  <c r="N23" i="8"/>
  <c r="N24" i="8" s="1"/>
  <c r="S52" i="8"/>
  <c r="U51" i="8"/>
  <c r="S60" i="8"/>
  <c r="S65" i="8"/>
  <c r="S74" i="8"/>
  <c r="S68" i="8"/>
  <c r="S53" i="8"/>
  <c r="S62" i="8"/>
  <c r="S73" i="8"/>
  <c r="S66" i="8"/>
  <c r="S59" i="8"/>
  <c r="S61" i="8"/>
  <c r="S63" i="8"/>
  <c r="S64" i="8"/>
  <c r="S58" i="8"/>
  <c r="S67" i="8"/>
  <c r="S24" i="8"/>
  <c r="S40" i="8"/>
  <c r="S44" i="8"/>
  <c r="S23" i="8"/>
  <c r="S41" i="8"/>
  <c r="S42" i="8"/>
  <c r="S39" i="8"/>
  <c r="S43" i="8"/>
  <c r="S45" i="8"/>
  <c r="S38" i="8"/>
  <c r="L59" i="8"/>
  <c r="L57" i="8"/>
  <c r="L73" i="8"/>
  <c r="L54" i="8"/>
  <c r="L58" i="8"/>
  <c r="L62" i="8"/>
  <c r="L66" i="8"/>
  <c r="L70" i="8"/>
  <c r="L74" i="8"/>
  <c r="L55" i="8"/>
  <c r="L63" i="8"/>
  <c r="L67" i="8"/>
  <c r="L71" i="8"/>
  <c r="L51" i="8"/>
  <c r="N51" i="8" s="1"/>
  <c r="L52" i="8"/>
  <c r="O52" i="8" s="1"/>
  <c r="L56" i="8"/>
  <c r="L60" i="8"/>
  <c r="L64" i="8"/>
  <c r="L68" i="8"/>
  <c r="L72" i="8"/>
  <c r="L53" i="8"/>
  <c r="L61" i="8"/>
  <c r="L65" i="8"/>
  <c r="L69" i="8"/>
  <c r="M58" i="8"/>
  <c r="P23" i="8"/>
  <c r="Q23" i="8"/>
  <c r="R23" i="8" s="1"/>
  <c r="O24" i="8"/>
  <c r="M28" i="8"/>
  <c r="T26" i="8"/>
  <c r="T27" i="8" s="1"/>
  <c r="T28" i="8" s="1"/>
  <c r="T29" i="8" s="1"/>
  <c r="T30" i="8" s="1"/>
  <c r="T31" i="8" s="1"/>
  <c r="T32" i="8" s="1"/>
  <c r="T33" i="8" s="1"/>
  <c r="T34" i="8" s="1"/>
  <c r="T35" i="8" s="1"/>
  <c r="T36" i="8" s="1"/>
  <c r="T37" i="8" s="1"/>
  <c r="T38" i="8" s="1"/>
  <c r="T39" i="8" s="1"/>
  <c r="T40" i="8" s="1"/>
  <c r="T41" i="8" s="1"/>
  <c r="T42" i="8" s="1"/>
  <c r="T43" i="8" s="1"/>
  <c r="T44" i="8" s="1"/>
  <c r="T45" i="8" s="1"/>
  <c r="V52" i="8" l="1"/>
  <c r="W52" i="8" s="1"/>
  <c r="Q109" i="8"/>
  <c r="R109" i="8" s="1"/>
  <c r="N109" i="8"/>
  <c r="N110" i="8" s="1"/>
  <c r="N138" i="8"/>
  <c r="N139" i="8" s="1"/>
  <c r="Q138" i="8"/>
  <c r="R138" i="8" s="1"/>
  <c r="O139" i="8"/>
  <c r="S56" i="8"/>
  <c r="M206" i="8"/>
  <c r="M177" i="8"/>
  <c r="M149" i="8"/>
  <c r="M122" i="8"/>
  <c r="S34" i="8"/>
  <c r="S37" i="8"/>
  <c r="S29" i="8"/>
  <c r="S31" i="8"/>
  <c r="S28" i="8"/>
  <c r="S35" i="8"/>
  <c r="S30" i="8"/>
  <c r="S72" i="8"/>
  <c r="S33" i="8"/>
  <c r="S36" i="8"/>
  <c r="S25" i="8"/>
  <c r="S26" i="8"/>
  <c r="S27" i="8"/>
  <c r="S32" i="8"/>
  <c r="M88" i="8"/>
  <c r="S70" i="8"/>
  <c r="S71" i="8"/>
  <c r="S55" i="8"/>
  <c r="S54" i="8"/>
  <c r="N52" i="8"/>
  <c r="N53" i="8" s="1"/>
  <c r="Q51" i="8"/>
  <c r="R51" i="8" s="1"/>
  <c r="D36" i="10"/>
  <c r="Z52" i="8"/>
  <c r="P52" i="8"/>
  <c r="Q52" i="8"/>
  <c r="R52" i="8" s="1"/>
  <c r="O53" i="8"/>
  <c r="M59" i="8"/>
  <c r="Q24" i="8"/>
  <c r="R24" i="8" s="1"/>
  <c r="P24" i="8"/>
  <c r="N25" i="8"/>
  <c r="O25" i="8"/>
  <c r="U22" i="8"/>
  <c r="V22" i="8" s="1"/>
  <c r="U52" i="8"/>
  <c r="U53" i="8" s="1"/>
  <c r="V53" i="8"/>
  <c r="W53" i="8" s="1"/>
  <c r="M29" i="8"/>
  <c r="W22" i="8" l="1"/>
  <c r="X52" i="8"/>
  <c r="Y52" i="8" s="1"/>
  <c r="AD52" i="8" s="1"/>
  <c r="X53" i="8"/>
  <c r="N140" i="8"/>
  <c r="O140" i="8"/>
  <c r="Q139" i="8"/>
  <c r="R139" i="8" s="1"/>
  <c r="P139" i="8"/>
  <c r="M207" i="8"/>
  <c r="M178" i="8"/>
  <c r="M150" i="8"/>
  <c r="M123" i="8"/>
  <c r="M89" i="8"/>
  <c r="AB51" i="8"/>
  <c r="AA52" i="8"/>
  <c r="Z53" i="8"/>
  <c r="P53" i="8"/>
  <c r="Q53" i="8"/>
  <c r="R53" i="8" s="1"/>
  <c r="N54" i="8"/>
  <c r="O54" i="8"/>
  <c r="M60" i="8"/>
  <c r="P25" i="8"/>
  <c r="Q25" i="8"/>
  <c r="R25" i="8" s="1"/>
  <c r="O26" i="8"/>
  <c r="Q26" i="8" s="1"/>
  <c r="R26" i="8" s="1"/>
  <c r="N26" i="8"/>
  <c r="U54" i="8"/>
  <c r="V54" i="8"/>
  <c r="W54" i="8" s="1"/>
  <c r="M30" i="8"/>
  <c r="AB52" i="8" l="1"/>
  <c r="X54" i="8"/>
  <c r="Q140" i="8"/>
  <c r="R140" i="8" s="1"/>
  <c r="P140" i="8"/>
  <c r="N141" i="8"/>
  <c r="O141" i="8"/>
  <c r="M208" i="8"/>
  <c r="M179" i="8"/>
  <c r="M151" i="8"/>
  <c r="M124" i="8"/>
  <c r="N27" i="8"/>
  <c r="M90" i="8"/>
  <c r="AA53" i="8"/>
  <c r="AD51" i="8"/>
  <c r="AB53" i="8"/>
  <c r="AC52" i="8" s="1"/>
  <c r="P54" i="8"/>
  <c r="Q54" i="8"/>
  <c r="R54" i="8" s="1"/>
  <c r="O55" i="8"/>
  <c r="N55" i="8"/>
  <c r="Z54" i="8"/>
  <c r="Y53" i="8"/>
  <c r="AD53" i="8" s="1"/>
  <c r="M61" i="8"/>
  <c r="P26" i="8"/>
  <c r="O27" i="8"/>
  <c r="P27" i="8" s="1"/>
  <c r="U55" i="8"/>
  <c r="V55" i="8"/>
  <c r="M31" i="8"/>
  <c r="W55" i="8" l="1"/>
  <c r="X55" i="8"/>
  <c r="Q141" i="8"/>
  <c r="R141" i="8"/>
  <c r="P141" i="8"/>
  <c r="O142" i="8"/>
  <c r="N142" i="8"/>
  <c r="M209" i="8"/>
  <c r="M180" i="8"/>
  <c r="M152" i="8"/>
  <c r="M125" i="8"/>
  <c r="M91" i="8"/>
  <c r="AA54" i="8"/>
  <c r="Z55" i="8"/>
  <c r="Q27" i="8"/>
  <c r="R27" i="8" s="1"/>
  <c r="P55" i="8"/>
  <c r="O56" i="8"/>
  <c r="N56" i="8"/>
  <c r="Q55" i="8"/>
  <c r="R55" i="8" s="1"/>
  <c r="AB54" i="8"/>
  <c r="AC53" i="8" s="1"/>
  <c r="Y54" i="8"/>
  <c r="AD54" i="8" s="1"/>
  <c r="M62" i="8"/>
  <c r="O28" i="8"/>
  <c r="Q28" i="8" s="1"/>
  <c r="R28" i="8" s="1"/>
  <c r="N28" i="8"/>
  <c r="Y55" i="8"/>
  <c r="V56" i="8"/>
  <c r="U56" i="8"/>
  <c r="M32" i="8"/>
  <c r="W56" i="8" l="1"/>
  <c r="X56" i="8"/>
  <c r="Q142" i="8"/>
  <c r="R142" i="8" s="1"/>
  <c r="P142" i="8"/>
  <c r="N143" i="8"/>
  <c r="O143" i="8"/>
  <c r="M210" i="8"/>
  <c r="M181" i="8"/>
  <c r="M153" i="8"/>
  <c r="M126" i="8"/>
  <c r="AD55" i="8"/>
  <c r="M92" i="8"/>
  <c r="AA55" i="8"/>
  <c r="Q56" i="8"/>
  <c r="R56" i="8" s="1"/>
  <c r="O57" i="8"/>
  <c r="N57" i="8"/>
  <c r="P56" i="8"/>
  <c r="Z56" i="8"/>
  <c r="AB55" i="8"/>
  <c r="AC54" i="8" s="1"/>
  <c r="M63" i="8"/>
  <c r="P28" i="8"/>
  <c r="O29" i="8"/>
  <c r="O30" i="8" s="1"/>
  <c r="Q30" i="8" s="1"/>
  <c r="R30" i="8" s="1"/>
  <c r="N29" i="8"/>
  <c r="U57" i="8"/>
  <c r="V57" i="8"/>
  <c r="M33" i="8"/>
  <c r="W57" i="8" l="1"/>
  <c r="X57" i="8"/>
  <c r="Q143" i="8"/>
  <c r="R143" i="8"/>
  <c r="P143" i="8"/>
  <c r="O144" i="8"/>
  <c r="N144" i="8"/>
  <c r="M211" i="8"/>
  <c r="M182" i="8"/>
  <c r="M154" i="8"/>
  <c r="M127" i="8"/>
  <c r="M93" i="8"/>
  <c r="Z57" i="8"/>
  <c r="AA56" i="8"/>
  <c r="AB56" i="8"/>
  <c r="AC55" i="8" s="1"/>
  <c r="Y56" i="8"/>
  <c r="P57" i="8"/>
  <c r="O58" i="8"/>
  <c r="N58" i="8"/>
  <c r="Q57" i="8"/>
  <c r="R57" i="8" s="1"/>
  <c r="M64" i="8"/>
  <c r="Q29" i="8"/>
  <c r="R29" i="8" s="1"/>
  <c r="O31" i="8"/>
  <c r="Q31" i="8" s="1"/>
  <c r="R31" i="8" s="1"/>
  <c r="N30" i="8"/>
  <c r="N31" i="8" s="1"/>
  <c r="P29" i="8"/>
  <c r="P30" i="8"/>
  <c r="U58" i="8"/>
  <c r="V58" i="8"/>
  <c r="Y57" i="8"/>
  <c r="M34" i="8"/>
  <c r="W58" i="8" l="1"/>
  <c r="X58" i="8"/>
  <c r="Q144" i="8"/>
  <c r="R144" i="8" s="1"/>
  <c r="P144" i="8"/>
  <c r="O145" i="8"/>
  <c r="N145" i="8"/>
  <c r="M212" i="8"/>
  <c r="M183" i="8"/>
  <c r="M155" i="8"/>
  <c r="M128" i="8"/>
  <c r="M94" i="8"/>
  <c r="AD57" i="8"/>
  <c r="AB57" i="8"/>
  <c r="AC56" i="8" s="1"/>
  <c r="Z58" i="8"/>
  <c r="P58" i="8"/>
  <c r="Q58" i="8"/>
  <c r="R58" i="8" s="1"/>
  <c r="O59" i="8"/>
  <c r="N59" i="8"/>
  <c r="AD56" i="8"/>
  <c r="AA57" i="8"/>
  <c r="M65" i="8"/>
  <c r="N32" i="8"/>
  <c r="O32" i="8"/>
  <c r="P32" i="8" s="1"/>
  <c r="P31" i="8"/>
  <c r="U59" i="8"/>
  <c r="V59" i="8"/>
  <c r="M35" i="8"/>
  <c r="W59" i="8" l="1"/>
  <c r="X59" i="8"/>
  <c r="P145" i="8"/>
  <c r="Q145" i="8"/>
  <c r="R145" i="8" s="1"/>
  <c r="O146" i="8"/>
  <c r="N146" i="8"/>
  <c r="Q32" i="8"/>
  <c r="R32" i="8" s="1"/>
  <c r="M213" i="8"/>
  <c r="M184" i="8"/>
  <c r="M156" i="8"/>
  <c r="M129" i="8"/>
  <c r="M95" i="8"/>
  <c r="AB58" i="8"/>
  <c r="AA58" i="8"/>
  <c r="Q59" i="8"/>
  <c r="R59" i="8" s="1"/>
  <c r="P59" i="8"/>
  <c r="N60" i="8"/>
  <c r="O60" i="8"/>
  <c r="Z59" i="8"/>
  <c r="Y58" i="8"/>
  <c r="M66" i="8"/>
  <c r="N33" i="8"/>
  <c r="O33" i="8"/>
  <c r="P33" i="8" s="1"/>
  <c r="V60" i="8"/>
  <c r="U60" i="8"/>
  <c r="M36" i="8"/>
  <c r="W60" i="8" l="1"/>
  <c r="X60" i="8"/>
  <c r="Y60" i="8" s="1"/>
  <c r="P146" i="8"/>
  <c r="Q146" i="8"/>
  <c r="R146" i="8" s="1"/>
  <c r="N147" i="8"/>
  <c r="O147" i="8"/>
  <c r="M214" i="8"/>
  <c r="M185" i="8"/>
  <c r="AG137" i="8"/>
  <c r="M157" i="8"/>
  <c r="M130" i="8"/>
  <c r="M96" i="8"/>
  <c r="AA59" i="8"/>
  <c r="Z60" i="8"/>
  <c r="Q60" i="8"/>
  <c r="R60" i="8" s="1"/>
  <c r="P60" i="8"/>
  <c r="O61" i="8"/>
  <c r="N61" i="8"/>
  <c r="AD58" i="8"/>
  <c r="AB59" i="8"/>
  <c r="AC58" i="8" s="1"/>
  <c r="Y59" i="8"/>
  <c r="AD59" i="8" s="1"/>
  <c r="AC57" i="8"/>
  <c r="M67" i="8"/>
  <c r="Q33" i="8"/>
  <c r="R33" i="8" s="1"/>
  <c r="O34" i="8"/>
  <c r="O35" i="8" s="1"/>
  <c r="N34" i="8"/>
  <c r="U61" i="8"/>
  <c r="V61" i="8"/>
  <c r="M37" i="8"/>
  <c r="W61" i="8" l="1"/>
  <c r="X61" i="8"/>
  <c r="Q147" i="8"/>
  <c r="R147" i="8" s="1"/>
  <c r="P147" i="8"/>
  <c r="O148" i="8"/>
  <c r="N148" i="8"/>
  <c r="D149" i="8"/>
  <c r="AG138" i="8" s="1"/>
  <c r="AG141" i="8" s="1"/>
  <c r="C37" i="3"/>
  <c r="C36" i="3" s="1"/>
  <c r="M215" i="8"/>
  <c r="M186" i="8"/>
  <c r="M158" i="8"/>
  <c r="M131" i="8"/>
  <c r="M97" i="8"/>
  <c r="AD60" i="8"/>
  <c r="Z61" i="8"/>
  <c r="AA60" i="8"/>
  <c r="N62" i="8"/>
  <c r="Q61" i="8"/>
  <c r="R61" i="8" s="1"/>
  <c r="P61" i="8"/>
  <c r="O62" i="8"/>
  <c r="AB60" i="8"/>
  <c r="AC59" i="8" s="1"/>
  <c r="M68" i="8"/>
  <c r="Q34" i="8"/>
  <c r="R34" i="8" s="1"/>
  <c r="P34" i="8"/>
  <c r="N35" i="8"/>
  <c r="N36" i="8" s="1"/>
  <c r="U62" i="8"/>
  <c r="V62" i="8"/>
  <c r="Q35" i="8"/>
  <c r="R35" i="8" s="1"/>
  <c r="P35" i="8"/>
  <c r="O36" i="8"/>
  <c r="M38" i="8"/>
  <c r="W62" i="8" l="1"/>
  <c r="X62" i="8"/>
  <c r="P148" i="8"/>
  <c r="Q148" i="8"/>
  <c r="R148" i="8" s="1"/>
  <c r="O149" i="8"/>
  <c r="N149" i="8"/>
  <c r="M216" i="8"/>
  <c r="M187" i="8"/>
  <c r="S145" i="8"/>
  <c r="S161" i="8"/>
  <c r="S154" i="8"/>
  <c r="S143" i="8"/>
  <c r="S159" i="8"/>
  <c r="S152" i="8"/>
  <c r="S149" i="8"/>
  <c r="S142" i="8"/>
  <c r="S158" i="8"/>
  <c r="S147" i="8"/>
  <c r="S140" i="8"/>
  <c r="S156" i="8"/>
  <c r="S153" i="8"/>
  <c r="S146" i="8"/>
  <c r="S138" i="8"/>
  <c r="X138" i="8" s="1"/>
  <c r="S151" i="8"/>
  <c r="S144" i="8"/>
  <c r="S160" i="8"/>
  <c r="S141" i="8"/>
  <c r="S157" i="8"/>
  <c r="S150" i="8"/>
  <c r="S139" i="8"/>
  <c r="S155" i="8"/>
  <c r="S148" i="8"/>
  <c r="M159" i="8"/>
  <c r="M132" i="8"/>
  <c r="M98" i="8"/>
  <c r="AA61" i="8"/>
  <c r="AB61" i="8"/>
  <c r="AC60" i="8" s="1"/>
  <c r="Z62" i="8"/>
  <c r="P62" i="8"/>
  <c r="O63" i="8"/>
  <c r="Q62" i="8"/>
  <c r="R62" i="8" s="1"/>
  <c r="N63" i="8"/>
  <c r="Y61" i="8"/>
  <c r="AD61" i="8" s="1"/>
  <c r="M69" i="8"/>
  <c r="U63" i="8"/>
  <c r="Y62" i="8"/>
  <c r="V63" i="8"/>
  <c r="N37" i="8"/>
  <c r="M39" i="8"/>
  <c r="Q36" i="8"/>
  <c r="R36" i="8" s="1"/>
  <c r="P36" i="8"/>
  <c r="O37" i="8"/>
  <c r="W63" i="8" l="1"/>
  <c r="X63" i="8"/>
  <c r="Y63" i="8" s="1"/>
  <c r="V139" i="8"/>
  <c r="Z139" i="8" s="1"/>
  <c r="X139" i="8"/>
  <c r="AB139" i="8" s="1"/>
  <c r="Q149" i="8"/>
  <c r="R149" i="8" s="1"/>
  <c r="P149" i="8"/>
  <c r="O150" i="8"/>
  <c r="N150" i="8"/>
  <c r="W139" i="8"/>
  <c r="AA139" i="8" s="1"/>
  <c r="M217" i="8"/>
  <c r="M188" i="8"/>
  <c r="U138" i="8"/>
  <c r="U139" i="8" s="1"/>
  <c r="M160" i="8"/>
  <c r="M99" i="8"/>
  <c r="AA62" i="8"/>
  <c r="AD62" i="8"/>
  <c r="Z63" i="8"/>
  <c r="AB62" i="8"/>
  <c r="AC61" i="8" s="1"/>
  <c r="N64" i="8"/>
  <c r="O64" i="8"/>
  <c r="Q63" i="8"/>
  <c r="R63" i="8" s="1"/>
  <c r="P63" i="8"/>
  <c r="M70" i="8"/>
  <c r="U64" i="8"/>
  <c r="V64" i="8"/>
  <c r="Q37" i="8"/>
  <c r="R37" i="8" s="1"/>
  <c r="P37" i="8"/>
  <c r="O38" i="8"/>
  <c r="N38" i="8"/>
  <c r="M40" i="8"/>
  <c r="Y139" i="8" l="1"/>
  <c r="AD139" i="8" s="1"/>
  <c r="V140" i="8"/>
  <c r="X140" i="8" s="1"/>
  <c r="AB140" i="8"/>
  <c r="W64" i="8"/>
  <c r="X64" i="8"/>
  <c r="AA63" i="8"/>
  <c r="U140" i="8"/>
  <c r="U141" i="8" s="1"/>
  <c r="P150" i="8"/>
  <c r="Q150" i="8"/>
  <c r="R150" i="8" s="1"/>
  <c r="O151" i="8"/>
  <c r="N151" i="8"/>
  <c r="V141" i="8"/>
  <c r="M218" i="8"/>
  <c r="M189" i="8"/>
  <c r="Y138" i="8"/>
  <c r="AD138" i="8" s="1"/>
  <c r="AB138" i="8"/>
  <c r="AC139" i="8" s="1"/>
  <c r="M161" i="8"/>
  <c r="M100" i="8"/>
  <c r="AD63" i="8"/>
  <c r="Q64" i="8"/>
  <c r="R64" i="8" s="1"/>
  <c r="O65" i="8"/>
  <c r="N65" i="8"/>
  <c r="P64" i="8"/>
  <c r="Z64" i="8"/>
  <c r="AB63" i="8"/>
  <c r="AC62" i="8" s="1"/>
  <c r="M71" i="8"/>
  <c r="U65" i="8"/>
  <c r="V65" i="8"/>
  <c r="P38" i="8"/>
  <c r="O39" i="8"/>
  <c r="Q38" i="8"/>
  <c r="R38" i="8" s="1"/>
  <c r="N39" i="8"/>
  <c r="M41" i="8"/>
  <c r="Z140" i="8" l="1"/>
  <c r="Y140" i="8"/>
  <c r="AD140" i="8" s="1"/>
  <c r="W140" i="8"/>
  <c r="AA140" i="8" s="1"/>
  <c r="W65" i="8"/>
  <c r="X65" i="8"/>
  <c r="W141" i="8"/>
  <c r="AA141" i="8" s="1"/>
  <c r="X141" i="8"/>
  <c r="Y141" i="8" s="1"/>
  <c r="AD141" i="8" s="1"/>
  <c r="P151" i="8"/>
  <c r="O152" i="8"/>
  <c r="Q151" i="8"/>
  <c r="R151" i="8" s="1"/>
  <c r="N152" i="8"/>
  <c r="Z141" i="8"/>
  <c r="U142" i="8"/>
  <c r="V142" i="8"/>
  <c r="M219" i="8"/>
  <c r="M190" i="8"/>
  <c r="M101" i="8"/>
  <c r="AA64" i="8"/>
  <c r="AB64" i="8"/>
  <c r="AC63" i="8" s="1"/>
  <c r="P65" i="8"/>
  <c r="N66" i="8"/>
  <c r="O66" i="8"/>
  <c r="Q65" i="8"/>
  <c r="R65" i="8" s="1"/>
  <c r="Y64" i="8"/>
  <c r="AD64" i="8" s="1"/>
  <c r="Z65" i="8"/>
  <c r="M72" i="8"/>
  <c r="U66" i="8"/>
  <c r="N40" i="8"/>
  <c r="V66" i="8"/>
  <c r="P39" i="8"/>
  <c r="Q39" i="8"/>
  <c r="R39" i="8" s="1"/>
  <c r="O40" i="8"/>
  <c r="M42" i="8"/>
  <c r="Z142" i="8" l="1"/>
  <c r="X142" i="8"/>
  <c r="W66" i="8"/>
  <c r="X66" i="8"/>
  <c r="Y66" i="8" s="1"/>
  <c r="P152" i="8"/>
  <c r="O153" i="8"/>
  <c r="Q152" i="8"/>
  <c r="R152" i="8" s="1"/>
  <c r="N153" i="8"/>
  <c r="AB141" i="8"/>
  <c r="AC140" i="8" s="1"/>
  <c r="AB142" i="8"/>
  <c r="AC141" i="8" s="1"/>
  <c r="V143" i="8"/>
  <c r="W142" i="8"/>
  <c r="AA142" i="8" s="1"/>
  <c r="U143" i="8"/>
  <c r="M102" i="8"/>
  <c r="AA65" i="8"/>
  <c r="AB65" i="8"/>
  <c r="AC64" i="8" s="1"/>
  <c r="Y65" i="8"/>
  <c r="AD65" i="8" s="1"/>
  <c r="Z66" i="8"/>
  <c r="Q66" i="8"/>
  <c r="R66" i="8" s="1"/>
  <c r="P66" i="8"/>
  <c r="O67" i="8"/>
  <c r="N67" i="8"/>
  <c r="M73" i="8"/>
  <c r="U67" i="8"/>
  <c r="V67" i="8"/>
  <c r="P40" i="8"/>
  <c r="Q40" i="8"/>
  <c r="R40" i="8" s="1"/>
  <c r="O41" i="8"/>
  <c r="N41" i="8"/>
  <c r="M43" i="8"/>
  <c r="W67" i="8" l="1"/>
  <c r="X67" i="8"/>
  <c r="Y67" i="8" s="1"/>
  <c r="V144" i="8"/>
  <c r="X144" i="8" s="1"/>
  <c r="AB144" i="8" s="1"/>
  <c r="X143" i="8"/>
  <c r="Q153" i="8"/>
  <c r="R153" i="8" s="1"/>
  <c r="O154" i="8"/>
  <c r="P153" i="8"/>
  <c r="N154" i="8"/>
  <c r="U144" i="8"/>
  <c r="Z143" i="8"/>
  <c r="W143" i="8"/>
  <c r="AA143" i="8" s="1"/>
  <c r="AB143" i="8"/>
  <c r="AC142" i="8" s="1"/>
  <c r="Y142" i="8"/>
  <c r="AD142" i="8" s="1"/>
  <c r="M103" i="8"/>
  <c r="AD66" i="8"/>
  <c r="Z67" i="8"/>
  <c r="AB66" i="8"/>
  <c r="AC65" i="8" s="1"/>
  <c r="AA66" i="8"/>
  <c r="P67" i="8"/>
  <c r="AA67" i="8" s="1"/>
  <c r="O68" i="8"/>
  <c r="N68" i="8"/>
  <c r="Q67" i="8"/>
  <c r="R67" i="8" s="1"/>
  <c r="M74" i="8"/>
  <c r="U68" i="8"/>
  <c r="V68" i="8"/>
  <c r="O42" i="8"/>
  <c r="Q41" i="8"/>
  <c r="R41" i="8" s="1"/>
  <c r="P41" i="8"/>
  <c r="N42" i="8"/>
  <c r="M44" i="8"/>
  <c r="W68" i="8" l="1"/>
  <c r="X68" i="8"/>
  <c r="Z144" i="8"/>
  <c r="U145" i="8"/>
  <c r="W144" i="8"/>
  <c r="AA144" i="8" s="1"/>
  <c r="V145" i="8"/>
  <c r="X145" i="8" s="1"/>
  <c r="O155" i="8"/>
  <c r="Q154" i="8"/>
  <c r="R154" i="8" s="1"/>
  <c r="P154" i="8"/>
  <c r="N155" i="8"/>
  <c r="AC143" i="8"/>
  <c r="Y143" i="8"/>
  <c r="AD143" i="8" s="1"/>
  <c r="W145" i="8"/>
  <c r="Z145" i="8"/>
  <c r="Y144" i="8"/>
  <c r="AD67" i="8"/>
  <c r="Q68" i="8"/>
  <c r="R68" i="8" s="1"/>
  <c r="O69" i="8"/>
  <c r="N69" i="8"/>
  <c r="P68" i="8"/>
  <c r="Z68" i="8"/>
  <c r="AB67" i="8"/>
  <c r="AC66" i="8" s="1"/>
  <c r="U69" i="8"/>
  <c r="V69" i="8"/>
  <c r="Y68" i="8"/>
  <c r="N43" i="8"/>
  <c r="M45" i="8"/>
  <c r="P42" i="8"/>
  <c r="O43" i="8"/>
  <c r="Q42" i="8"/>
  <c r="R42" i="8" s="1"/>
  <c r="W69" i="8" l="1"/>
  <c r="X69" i="8"/>
  <c r="Y69" i="8" s="1"/>
  <c r="V146" i="8"/>
  <c r="X146" i="8" s="1"/>
  <c r="AB146" i="8" s="1"/>
  <c r="AC145" i="8" s="1"/>
  <c r="U146" i="8"/>
  <c r="P155" i="8"/>
  <c r="Q155" i="8"/>
  <c r="G147" i="8" s="1"/>
  <c r="O156" i="8"/>
  <c r="N156" i="8"/>
  <c r="AB145" i="8"/>
  <c r="Y145" i="8"/>
  <c r="AD145" i="8" s="1"/>
  <c r="AD144" i="8"/>
  <c r="AA145" i="8"/>
  <c r="AG79" i="8"/>
  <c r="AG83" i="8" s="1"/>
  <c r="AD68" i="8"/>
  <c r="AA68" i="8"/>
  <c r="Z69" i="8"/>
  <c r="N70" i="8"/>
  <c r="P69" i="8"/>
  <c r="O70" i="8"/>
  <c r="Q69" i="8"/>
  <c r="R69" i="8" s="1"/>
  <c r="AB68" i="8"/>
  <c r="U70" i="8"/>
  <c r="V70" i="8"/>
  <c r="P43" i="8"/>
  <c r="Q43" i="8"/>
  <c r="R43" i="8" s="1"/>
  <c r="O44" i="8"/>
  <c r="N44" i="8"/>
  <c r="Z146" i="8" l="1"/>
  <c r="W146" i="8"/>
  <c r="AA146" i="8" s="1"/>
  <c r="W70" i="8"/>
  <c r="X70" i="8"/>
  <c r="Y70" i="8" s="1"/>
  <c r="V147" i="8"/>
  <c r="X147" i="8" s="1"/>
  <c r="U147" i="8"/>
  <c r="U148" i="8" s="1"/>
  <c r="R155" i="8"/>
  <c r="P156" i="8"/>
  <c r="Q156" i="8"/>
  <c r="R156" i="8" s="1"/>
  <c r="G148" i="8" s="1"/>
  <c r="D106" i="10" s="1"/>
  <c r="O157" i="8"/>
  <c r="N157" i="8"/>
  <c r="AC144" i="8"/>
  <c r="Y146" i="8"/>
  <c r="Z147" i="8"/>
  <c r="V148" i="8"/>
  <c r="X148" i="8" s="1"/>
  <c r="AA69" i="8"/>
  <c r="O71" i="8"/>
  <c r="N71" i="8"/>
  <c r="Q70" i="8"/>
  <c r="R70" i="8" s="1"/>
  <c r="P70" i="8"/>
  <c r="AD69" i="8"/>
  <c r="Z70" i="8"/>
  <c r="AC67" i="8"/>
  <c r="AB69" i="8"/>
  <c r="AC68" i="8" s="1"/>
  <c r="V71" i="8"/>
  <c r="U71" i="8"/>
  <c r="Q44" i="8"/>
  <c r="R44" i="8" s="1"/>
  <c r="P44" i="8"/>
  <c r="O45" i="8"/>
  <c r="N45" i="8"/>
  <c r="W147" i="8" l="1"/>
  <c r="AA147" i="8" s="1"/>
  <c r="W71" i="8"/>
  <c r="X71" i="8"/>
  <c r="P157" i="8"/>
  <c r="Q157" i="8"/>
  <c r="R157" i="8" s="1"/>
  <c r="O158" i="8"/>
  <c r="N158" i="8"/>
  <c r="Y147" i="8"/>
  <c r="AD147" i="8" s="1"/>
  <c r="AB147" i="8"/>
  <c r="AD146" i="8"/>
  <c r="Z148" i="8"/>
  <c r="W148" i="8"/>
  <c r="AA148" i="8" s="1"/>
  <c r="V149" i="8"/>
  <c r="X149" i="8" s="1"/>
  <c r="U149" i="8"/>
  <c r="AD70" i="8"/>
  <c r="AA70" i="8"/>
  <c r="Z71" i="8"/>
  <c r="AB70" i="8"/>
  <c r="AC69" i="8" s="1"/>
  <c r="Q71" i="8"/>
  <c r="R71" i="8" s="1"/>
  <c r="N72" i="8"/>
  <c r="P71" i="8"/>
  <c r="O72" i="8"/>
  <c r="Y71" i="8"/>
  <c r="V72" i="8"/>
  <c r="U72" i="8"/>
  <c r="Q45" i="8"/>
  <c r="P45" i="8"/>
  <c r="P46" i="8" s="1"/>
  <c r="D22" i="10" s="1"/>
  <c r="D37" i="8" s="1"/>
  <c r="W72" i="8" l="1"/>
  <c r="X72" i="8"/>
  <c r="Y72" i="8" s="1"/>
  <c r="P158" i="8"/>
  <c r="Q158" i="8"/>
  <c r="R158" i="8" s="1"/>
  <c r="O159" i="8"/>
  <c r="N159" i="8"/>
  <c r="Z149" i="8"/>
  <c r="W149" i="8"/>
  <c r="AA149" i="8" s="1"/>
  <c r="U150" i="8"/>
  <c r="V150" i="8"/>
  <c r="X150" i="8" s="1"/>
  <c r="AC146" i="8"/>
  <c r="Y148" i="8"/>
  <c r="AB148" i="8"/>
  <c r="AC147" i="8" s="1"/>
  <c r="AD71" i="8"/>
  <c r="AA71" i="8"/>
  <c r="P72" i="8"/>
  <c r="O73" i="8"/>
  <c r="N73" i="8"/>
  <c r="Q72" i="8"/>
  <c r="R72" i="8" s="1"/>
  <c r="Z72" i="8"/>
  <c r="AB71" i="8"/>
  <c r="AC70" i="8" s="1"/>
  <c r="R45" i="8"/>
  <c r="Q46" i="8"/>
  <c r="D23" i="10" s="1"/>
  <c r="D38" i="8" s="1"/>
  <c r="V73" i="8"/>
  <c r="U73" i="8"/>
  <c r="W73" i="8" l="1"/>
  <c r="X73" i="8"/>
  <c r="O160" i="8"/>
  <c r="P159" i="8"/>
  <c r="Q159" i="8"/>
  <c r="R159" i="8" s="1"/>
  <c r="N160" i="8"/>
  <c r="AB149" i="8"/>
  <c r="AC148" i="8" s="1"/>
  <c r="Y149" i="8"/>
  <c r="AD149" i="8" s="1"/>
  <c r="AD148" i="8"/>
  <c r="AB150" i="8"/>
  <c r="AC149" i="8" s="1"/>
  <c r="Z150" i="8"/>
  <c r="W150" i="8"/>
  <c r="AA150" i="8" s="1"/>
  <c r="V151" i="8"/>
  <c r="X151" i="8" s="1"/>
  <c r="U151" i="8"/>
  <c r="AA72" i="8"/>
  <c r="AD72" i="8"/>
  <c r="Z73" i="8"/>
  <c r="N74" i="8"/>
  <c r="Q73" i="8"/>
  <c r="R73" i="8" s="1"/>
  <c r="P73" i="8"/>
  <c r="O74" i="8"/>
  <c r="AB72" i="8"/>
  <c r="AC71" i="8" s="1"/>
  <c r="R46" i="8"/>
  <c r="R47" i="8" s="1"/>
  <c r="D24" i="10" s="1"/>
  <c r="D39" i="8" s="1"/>
  <c r="V74" i="8"/>
  <c r="U74" i="8"/>
  <c r="W74" i="8" l="1"/>
  <c r="X74" i="8"/>
  <c r="Q160" i="8"/>
  <c r="R160" i="8" s="1"/>
  <c r="O161" i="8"/>
  <c r="P160" i="8"/>
  <c r="N161" i="8"/>
  <c r="U152" i="8"/>
  <c r="W151" i="8"/>
  <c r="Z151" i="8"/>
  <c r="V152" i="8"/>
  <c r="X152" i="8" s="1"/>
  <c r="Y150" i="8"/>
  <c r="AA73" i="8"/>
  <c r="AB73" i="8"/>
  <c r="AC72" i="8" s="1"/>
  <c r="AG59" i="8"/>
  <c r="Z74" i="8"/>
  <c r="Z75" i="8" s="1"/>
  <c r="P74" i="8"/>
  <c r="P75" i="8" s="1"/>
  <c r="D44" i="10" s="1"/>
  <c r="Q74" i="8"/>
  <c r="Q75" i="8" s="1"/>
  <c r="D45" i="10" s="1"/>
  <c r="Y73" i="8"/>
  <c r="AD73" i="8" s="1"/>
  <c r="X75" i="8"/>
  <c r="F45" i="10" s="1"/>
  <c r="C13" i="3" s="1"/>
  <c r="P161" i="8" l="1"/>
  <c r="P162" i="8" s="1"/>
  <c r="D153" i="8" s="1"/>
  <c r="D110" i="10" s="1"/>
  <c r="Q161" i="8"/>
  <c r="Q162" i="8" s="1"/>
  <c r="D154" i="8" s="1"/>
  <c r="D111" i="10" s="1"/>
  <c r="U153" i="8"/>
  <c r="AA151" i="8"/>
  <c r="W152" i="8"/>
  <c r="AA152" i="8" s="1"/>
  <c r="Z152" i="8"/>
  <c r="V153" i="8"/>
  <c r="X153" i="8" s="1"/>
  <c r="AD150" i="8"/>
  <c r="Y151" i="8"/>
  <c r="AD151" i="8" s="1"/>
  <c r="AB151" i="8"/>
  <c r="AB74" i="8"/>
  <c r="AC51" i="8" s="1"/>
  <c r="AC74" i="8"/>
  <c r="W75" i="8"/>
  <c r="AA74" i="8"/>
  <c r="AA75" i="8" s="1"/>
  <c r="E44" i="10" s="1"/>
  <c r="R74" i="8"/>
  <c r="R75" i="8" s="1"/>
  <c r="Y74" i="8"/>
  <c r="AG57" i="8"/>
  <c r="AG61" i="8"/>
  <c r="U23" i="8"/>
  <c r="AA22" i="8"/>
  <c r="Z22" i="8"/>
  <c r="X22" i="8"/>
  <c r="Y22" i="8" s="1"/>
  <c r="V23" i="8"/>
  <c r="W23" i="8" s="1"/>
  <c r="U154" i="8" l="1"/>
  <c r="R161" i="8"/>
  <c r="R162" i="8" s="1"/>
  <c r="R163" i="8" s="1"/>
  <c r="D155" i="8" s="1"/>
  <c r="D112" i="10" s="1"/>
  <c r="Y152" i="8"/>
  <c r="AD152" i="8" s="1"/>
  <c r="AB152" i="8"/>
  <c r="AC151" i="8" s="1"/>
  <c r="AC150" i="8"/>
  <c r="W153" i="8"/>
  <c r="AA153" i="8" s="1"/>
  <c r="Z153" i="8"/>
  <c r="AB153" i="8"/>
  <c r="AC152" i="8" s="1"/>
  <c r="V154" i="8"/>
  <c r="X154" i="8" s="1"/>
  <c r="R76" i="8"/>
  <c r="D46" i="10" s="1"/>
  <c r="AG63" i="8"/>
  <c r="F44" i="10"/>
  <c r="C12" i="3" s="1"/>
  <c r="AD74" i="8"/>
  <c r="AD75" i="8" s="1"/>
  <c r="Y75" i="8"/>
  <c r="AB75" i="8"/>
  <c r="E45" i="10" s="1"/>
  <c r="AC73" i="8"/>
  <c r="AB22" i="8"/>
  <c r="U24" i="8"/>
  <c r="V24" i="8"/>
  <c r="W24" i="8" s="1"/>
  <c r="AD22" i="8"/>
  <c r="Z23" i="8"/>
  <c r="X23" i="8"/>
  <c r="U155" i="8" l="1"/>
  <c r="W154" i="8"/>
  <c r="AA154" i="8" s="1"/>
  <c r="Z154" i="8"/>
  <c r="Y154" i="8"/>
  <c r="AD154" i="8" s="1"/>
  <c r="V155" i="8"/>
  <c r="X155" i="8" s="1"/>
  <c r="Y153" i="8"/>
  <c r="AD153" i="8" s="1"/>
  <c r="AD76" i="8"/>
  <c r="X24" i="8"/>
  <c r="V25" i="8"/>
  <c r="Z24" i="8"/>
  <c r="AA24" i="8"/>
  <c r="U25" i="8"/>
  <c r="AA23" i="8"/>
  <c r="AB23" i="8"/>
  <c r="Y23" i="8"/>
  <c r="W25" i="8" l="1"/>
  <c r="AA25" i="8" s="1"/>
  <c r="X25" i="8"/>
  <c r="AB25" i="8" s="1"/>
  <c r="AC24" i="8" s="1"/>
  <c r="Z155" i="8"/>
  <c r="W155" i="8"/>
  <c r="Y155" i="8"/>
  <c r="AD155" i="8" s="1"/>
  <c r="V156" i="8"/>
  <c r="X156" i="8" s="1"/>
  <c r="U156" i="8"/>
  <c r="AB154" i="8"/>
  <c r="AC153" i="8" s="1"/>
  <c r="Y76" i="8"/>
  <c r="F46" i="10" s="1"/>
  <c r="E46" i="10"/>
  <c r="C14" i="3" s="1"/>
  <c r="U26" i="8"/>
  <c r="Z25" i="8"/>
  <c r="V26" i="8"/>
  <c r="W26" i="8" s="1"/>
  <c r="AB24" i="8"/>
  <c r="AC23" i="8" s="1"/>
  <c r="Y24" i="8"/>
  <c r="AD24" i="8" s="1"/>
  <c r="AD23" i="8"/>
  <c r="U157" i="8" l="1"/>
  <c r="W156" i="8"/>
  <c r="AA156" i="8" s="1"/>
  <c r="V157" i="8"/>
  <c r="X157" i="8" s="1"/>
  <c r="Z156" i="8"/>
  <c r="AB155" i="8"/>
  <c r="AA155" i="8"/>
  <c r="Y25" i="8"/>
  <c r="Z26" i="8"/>
  <c r="AA26" i="8"/>
  <c r="U27" i="8"/>
  <c r="X26" i="8"/>
  <c r="AB26" i="8" s="1"/>
  <c r="AC25" i="8" s="1"/>
  <c r="V27" i="8"/>
  <c r="W27" i="8" s="1"/>
  <c r="AD25" i="8" l="1"/>
  <c r="AC154" i="8"/>
  <c r="Y156" i="8"/>
  <c r="AB156" i="8"/>
  <c r="AC155" i="8" s="1"/>
  <c r="W157" i="8"/>
  <c r="AA157" i="8" s="1"/>
  <c r="U158" i="8"/>
  <c r="Z157" i="8"/>
  <c r="V158" i="8"/>
  <c r="X158" i="8" s="1"/>
  <c r="AB157" i="8"/>
  <c r="AC156" i="8" s="1"/>
  <c r="X27" i="8"/>
  <c r="AB27" i="8" s="1"/>
  <c r="AC26" i="8" s="1"/>
  <c r="V28" i="8"/>
  <c r="W28" i="8" s="1"/>
  <c r="Z27" i="8"/>
  <c r="U28" i="8"/>
  <c r="AA27" i="8"/>
  <c r="Y26" i="8"/>
  <c r="AD26" i="8" s="1"/>
  <c r="AD156" i="8" l="1"/>
  <c r="W158" i="8"/>
  <c r="AA158" i="8" s="1"/>
  <c r="U159" i="8"/>
  <c r="Z158" i="8"/>
  <c r="V159" i="8"/>
  <c r="X159" i="8" s="1"/>
  <c r="AB158" i="8"/>
  <c r="AC157" i="8" s="1"/>
  <c r="Y157" i="8"/>
  <c r="AD157" i="8" s="1"/>
  <c r="U29" i="8"/>
  <c r="Y27" i="8"/>
  <c r="AD27" i="8" s="1"/>
  <c r="AA28" i="8"/>
  <c r="Z28" i="8"/>
  <c r="V29" i="8"/>
  <c r="W29" i="8" s="1"/>
  <c r="X28" i="8"/>
  <c r="AB28" i="8" s="1"/>
  <c r="AC27" i="8" s="1"/>
  <c r="Y158" i="8" l="1"/>
  <c r="AD158" i="8" s="1"/>
  <c r="W159" i="8"/>
  <c r="AA159" i="8" s="1"/>
  <c r="V160" i="8"/>
  <c r="X160" i="8" s="1"/>
  <c r="Z159" i="8"/>
  <c r="U160" i="8"/>
  <c r="U30" i="8"/>
  <c r="Z29" i="8"/>
  <c r="V30" i="8"/>
  <c r="W30" i="8" s="1"/>
  <c r="X29" i="8"/>
  <c r="AA29" i="8"/>
  <c r="Y28" i="8"/>
  <c r="AD28" i="8" s="1"/>
  <c r="Y159" i="8" l="1"/>
  <c r="AD159" i="8" s="1"/>
  <c r="AB159" i="8"/>
  <c r="AC158" i="8" s="1"/>
  <c r="U161" i="8"/>
  <c r="W160" i="8"/>
  <c r="AA160" i="8" s="1"/>
  <c r="V161" i="8"/>
  <c r="X161" i="8" s="1"/>
  <c r="Z160" i="8"/>
  <c r="Y29" i="8"/>
  <c r="AD29" i="8" s="1"/>
  <c r="AB29" i="8"/>
  <c r="AC28" i="8" s="1"/>
  <c r="U31" i="8"/>
  <c r="Z30" i="8"/>
  <c r="X30" i="8"/>
  <c r="AB30" i="8" s="1"/>
  <c r="AC29" i="8" s="1"/>
  <c r="AA30" i="8"/>
  <c r="V31" i="8"/>
  <c r="W31" i="8" s="1"/>
  <c r="W161" i="8" l="1"/>
  <c r="Z161" i="8"/>
  <c r="Z162" i="8" s="1"/>
  <c r="AG148" i="8" s="1"/>
  <c r="AG146" i="8"/>
  <c r="Y160" i="8"/>
  <c r="AD160" i="8" s="1"/>
  <c r="AB160" i="8"/>
  <c r="AC159" i="8" s="1"/>
  <c r="Y30" i="8"/>
  <c r="AD30" i="8" s="1"/>
  <c r="X31" i="8"/>
  <c r="AA31" i="8"/>
  <c r="V32" i="8"/>
  <c r="W32" i="8" s="1"/>
  <c r="Z31" i="8"/>
  <c r="U32" i="8"/>
  <c r="AA161" i="8" l="1"/>
  <c r="AA162" i="8" s="1"/>
  <c r="E153" i="8" s="1"/>
  <c r="E110" i="10" s="1"/>
  <c r="W162" i="8"/>
  <c r="Y161" i="8"/>
  <c r="AB161" i="8"/>
  <c r="AC160" i="8" s="1"/>
  <c r="AC161" i="8"/>
  <c r="X162" i="8"/>
  <c r="F154" i="8" s="1"/>
  <c r="F111" i="10" s="1"/>
  <c r="C34" i="3" s="1"/>
  <c r="AG144" i="8"/>
  <c r="Z32" i="8"/>
  <c r="X32" i="8"/>
  <c r="U33" i="8"/>
  <c r="AA32" i="8"/>
  <c r="V33" i="8"/>
  <c r="W33" i="8" s="1"/>
  <c r="Y31" i="8"/>
  <c r="AD31" i="8" s="1"/>
  <c r="AB31" i="8"/>
  <c r="AC30" i="8" s="1"/>
  <c r="AC138" i="8" l="1"/>
  <c r="AB162" i="8"/>
  <c r="E154" i="8" s="1"/>
  <c r="E111" i="10" s="1"/>
  <c r="AD161" i="8"/>
  <c r="AD162" i="8" s="1"/>
  <c r="AD163" i="8" s="1"/>
  <c r="Y162" i="8"/>
  <c r="F153" i="8"/>
  <c r="F110" i="10" s="1"/>
  <c r="C33" i="3" s="1"/>
  <c r="AG150" i="8"/>
  <c r="AB32" i="8"/>
  <c r="AC31" i="8" s="1"/>
  <c r="Y32" i="8"/>
  <c r="AD32" i="8" s="1"/>
  <c r="X33" i="8"/>
  <c r="AB33" i="8" s="1"/>
  <c r="AC32" i="8" s="1"/>
  <c r="AA33" i="8"/>
  <c r="V34" i="8"/>
  <c r="W34" i="8" s="1"/>
  <c r="U34" i="8"/>
  <c r="Z33" i="8"/>
  <c r="Y163" i="8" l="1"/>
  <c r="F155" i="8" s="1"/>
  <c r="F112" i="10" s="1"/>
  <c r="E155" i="8"/>
  <c r="E112" i="10" s="1"/>
  <c r="C35" i="3" s="1"/>
  <c r="Y33" i="8"/>
  <c r="AD33" i="8" s="1"/>
  <c r="U35" i="8"/>
  <c r="X34" i="8"/>
  <c r="AB34" i="8" s="1"/>
  <c r="AC33" i="8" s="1"/>
  <c r="AA34" i="8"/>
  <c r="Z34" i="8"/>
  <c r="V35" i="8"/>
  <c r="W35" i="8" s="1"/>
  <c r="U36" i="8" l="1"/>
  <c r="AA35" i="8"/>
  <c r="Z35" i="8"/>
  <c r="V36" i="8"/>
  <c r="W36" i="8" s="1"/>
  <c r="X35" i="8"/>
  <c r="AB35" i="8" s="1"/>
  <c r="AC34" i="8" s="1"/>
  <c r="Y34" i="8"/>
  <c r="AD34" i="8" s="1"/>
  <c r="Z36" i="8" l="1"/>
  <c r="X36" i="8"/>
  <c r="AB36" i="8" s="1"/>
  <c r="AC35" i="8" s="1"/>
  <c r="AA36" i="8"/>
  <c r="U37" i="8"/>
  <c r="V37" i="8"/>
  <c r="W37" i="8" s="1"/>
  <c r="Y35" i="8"/>
  <c r="AD35" i="8" s="1"/>
  <c r="U38" i="8" l="1"/>
  <c r="Y36" i="8"/>
  <c r="AD36" i="8" s="1"/>
  <c r="X37" i="8"/>
  <c r="AB37" i="8" s="1"/>
  <c r="AC36" i="8" s="1"/>
  <c r="V38" i="8"/>
  <c r="Z37" i="8"/>
  <c r="AA37" i="8"/>
  <c r="U39" i="8" l="1"/>
  <c r="W38" i="8"/>
  <c r="AA38" i="8" s="1"/>
  <c r="Y37" i="8"/>
  <c r="AD37" i="8" s="1"/>
  <c r="X38" i="8"/>
  <c r="AB38" i="8" s="1"/>
  <c r="AC37" i="8" s="1"/>
  <c r="V39" i="8"/>
  <c r="W39" i="8" s="1"/>
  <c r="Z38" i="8"/>
  <c r="AA39" i="8" l="1"/>
  <c r="U40" i="8"/>
  <c r="V40" i="8"/>
  <c r="W40" i="8" s="1"/>
  <c r="X39" i="8"/>
  <c r="AB39" i="8" s="1"/>
  <c r="AC38" i="8" s="1"/>
  <c r="Z39" i="8"/>
  <c r="Y38" i="8"/>
  <c r="AD38" i="8" s="1"/>
  <c r="Y39" i="8" l="1"/>
  <c r="AD39" i="8" s="1"/>
  <c r="Z40" i="8"/>
  <c r="V41" i="8"/>
  <c r="W41" i="8" s="1"/>
  <c r="X40" i="8"/>
  <c r="AB40" i="8" s="1"/>
  <c r="AC39" i="8" s="1"/>
  <c r="U41" i="8"/>
  <c r="AA40" i="8"/>
  <c r="Y40" i="8" l="1"/>
  <c r="AD40" i="8" s="1"/>
  <c r="U42" i="8"/>
  <c r="V42" i="8"/>
  <c r="W42" i="8" s="1"/>
  <c r="Z41" i="8"/>
  <c r="X41" i="8"/>
  <c r="AA41" i="8"/>
  <c r="AA42" i="8" l="1"/>
  <c r="U43" i="8"/>
  <c r="Z42" i="8"/>
  <c r="V43" i="8"/>
  <c r="W43" i="8" s="1"/>
  <c r="X42" i="8"/>
  <c r="AB42" i="8" s="1"/>
  <c r="AC41" i="8" s="1"/>
  <c r="Y41" i="8"/>
  <c r="AD41" i="8" s="1"/>
  <c r="AB41" i="8"/>
  <c r="AC40" i="8" s="1"/>
  <c r="Y42" i="8" l="1"/>
  <c r="AD42" i="8" s="1"/>
  <c r="X43" i="8"/>
  <c r="AB43" i="8" s="1"/>
  <c r="AC42" i="8" s="1"/>
  <c r="U44" i="8"/>
  <c r="AA43" i="8"/>
  <c r="Z43" i="8"/>
  <c r="V44" i="8"/>
  <c r="W44" i="8" s="1"/>
  <c r="X44" i="8" l="1"/>
  <c r="AA44" i="8"/>
  <c r="V45" i="8"/>
  <c r="Z44" i="8"/>
  <c r="U45" i="8"/>
  <c r="Y43" i="8"/>
  <c r="AD43" i="8" s="1"/>
  <c r="AG28" i="8" l="1"/>
  <c r="W45" i="8"/>
  <c r="W46" i="8" s="1"/>
  <c r="Z45" i="8"/>
  <c r="Z46" i="8" s="1"/>
  <c r="AG31" i="8" s="1"/>
  <c r="X45" i="8"/>
  <c r="Y45" i="8" s="1"/>
  <c r="AB44" i="8"/>
  <c r="AC43" i="8" s="1"/>
  <c r="Y44" i="8"/>
  <c r="AD45" i="8" l="1"/>
  <c r="Y46" i="8"/>
  <c r="AA45" i="8"/>
  <c r="AA46" i="8" s="1"/>
  <c r="E22" i="10" s="1"/>
  <c r="E37" i="8" s="1"/>
  <c r="F22" i="10"/>
  <c r="C5" i="3" s="1"/>
  <c r="AB45" i="8"/>
  <c r="X46" i="8"/>
  <c r="F23" i="10" s="1"/>
  <c r="C6" i="3" s="1"/>
  <c r="AC45" i="8"/>
  <c r="AG26" i="8"/>
  <c r="AD44" i="8"/>
  <c r="AD46" i="8" s="1"/>
  <c r="AD47" i="8" s="1"/>
  <c r="Y47" i="8" s="1"/>
  <c r="F37" i="8" l="1"/>
  <c r="F38" i="8"/>
  <c r="AG33" i="8"/>
  <c r="AC44" i="8"/>
  <c r="AB46" i="8"/>
  <c r="E23" i="10" s="1"/>
  <c r="E38" i="8" s="1"/>
  <c r="AC22" i="8"/>
  <c r="E24" i="10"/>
  <c r="F24" i="10"/>
  <c r="E39" i="8" l="1"/>
  <c r="C7" i="3"/>
  <c r="F39" i="8"/>
  <c r="F80" i="8"/>
  <c r="E51" i="10" s="1"/>
  <c r="L81" i="8" l="1"/>
  <c r="L85" i="8"/>
  <c r="L89" i="8"/>
  <c r="L93" i="8"/>
  <c r="L97" i="8"/>
  <c r="L101" i="8"/>
  <c r="L82" i="8"/>
  <c r="L86" i="8"/>
  <c r="L90" i="8"/>
  <c r="L94" i="8"/>
  <c r="L98" i="8"/>
  <c r="L102" i="8"/>
  <c r="L83" i="8"/>
  <c r="L87" i="8"/>
  <c r="L91" i="8"/>
  <c r="L95" i="8"/>
  <c r="L99" i="8"/>
  <c r="L103" i="8"/>
  <c r="L84" i="8"/>
  <c r="L88" i="8"/>
  <c r="L92" i="8"/>
  <c r="L96" i="8"/>
  <c r="L100" i="8"/>
  <c r="L80" i="8"/>
  <c r="N80" i="8" s="1"/>
  <c r="N111" i="8" l="1"/>
  <c r="O111" i="8"/>
  <c r="O112" i="8" s="1"/>
  <c r="O113" i="8" s="1"/>
  <c r="O114" i="8" s="1"/>
  <c r="O81" i="8"/>
  <c r="N81" i="8"/>
  <c r="Q80" i="8"/>
  <c r="R80" i="8" s="1"/>
  <c r="N112" i="8" l="1"/>
  <c r="N113" i="8" s="1"/>
  <c r="N114" i="8" s="1"/>
  <c r="N115" i="8" s="1"/>
  <c r="P114" i="8"/>
  <c r="Q114" i="8"/>
  <c r="R114" i="8" s="1"/>
  <c r="Q113" i="8"/>
  <c r="R113" i="8" s="1"/>
  <c r="P113" i="8"/>
  <c r="N82" i="8"/>
  <c r="O115" i="8"/>
  <c r="Q112" i="8"/>
  <c r="R112" i="8" s="1"/>
  <c r="P112" i="8"/>
  <c r="Q111" i="8"/>
  <c r="R111" i="8" s="1"/>
  <c r="P111" i="8"/>
  <c r="Q110" i="8"/>
  <c r="R110" i="8" s="1"/>
  <c r="P110" i="8"/>
  <c r="O82" i="8"/>
  <c r="P82" i="8" s="1"/>
  <c r="Q81" i="8"/>
  <c r="R81" i="8" s="1"/>
  <c r="P81" i="8"/>
  <c r="N116" i="8" l="1"/>
  <c r="N83" i="8"/>
  <c r="Q115" i="8"/>
  <c r="R115" i="8" s="1"/>
  <c r="P115" i="8"/>
  <c r="O116" i="8"/>
  <c r="Q82" i="8"/>
  <c r="R82" i="8" s="1"/>
  <c r="O83" i="8"/>
  <c r="P83" i="8" s="1"/>
  <c r="N117" i="8" l="1"/>
  <c r="Q83" i="8"/>
  <c r="R83" i="8" s="1"/>
  <c r="Q116" i="8"/>
  <c r="R116" i="8" s="1"/>
  <c r="P116" i="8"/>
  <c r="O117" i="8"/>
  <c r="O84" i="8"/>
  <c r="O85" i="8" s="1"/>
  <c r="N84" i="8"/>
  <c r="N118" i="8" l="1"/>
  <c r="Q84" i="8"/>
  <c r="P84" i="8"/>
  <c r="N85" i="8"/>
  <c r="N86" i="8" s="1"/>
  <c r="P117" i="8"/>
  <c r="Q117" i="8"/>
  <c r="R117" i="8" s="1"/>
  <c r="O118" i="8"/>
  <c r="P85" i="8"/>
  <c r="Q85" i="8"/>
  <c r="O86" i="8"/>
  <c r="R84" i="8" l="1"/>
  <c r="N119" i="8"/>
  <c r="N120" i="8" s="1"/>
  <c r="Q118" i="8"/>
  <c r="R118" i="8" s="1"/>
  <c r="P118" i="8"/>
  <c r="O119" i="8"/>
  <c r="P86" i="8"/>
  <c r="Q86" i="8"/>
  <c r="N87" i="8"/>
  <c r="O87" i="8"/>
  <c r="R85" i="8"/>
  <c r="Q119" i="8" l="1"/>
  <c r="R119" i="8" s="1"/>
  <c r="P119" i="8"/>
  <c r="O120" i="8"/>
  <c r="N121" i="8" s="1"/>
  <c r="N88" i="8"/>
  <c r="P87" i="8"/>
  <c r="Q87" i="8"/>
  <c r="O88" i="8"/>
  <c r="R86" i="8"/>
  <c r="P120" i="8" l="1"/>
  <c r="Q120" i="8"/>
  <c r="R120" i="8" s="1"/>
  <c r="O121" i="8"/>
  <c r="N122" i="8" s="1"/>
  <c r="R87" i="8"/>
  <c r="N89" i="8"/>
  <c r="P88" i="8"/>
  <c r="Q88" i="8"/>
  <c r="O89" i="8"/>
  <c r="P121" i="8" l="1"/>
  <c r="Q121" i="8"/>
  <c r="R121" i="8" s="1"/>
  <c r="O122" i="8"/>
  <c r="N123" i="8" s="1"/>
  <c r="R88" i="8"/>
  <c r="N90" i="8"/>
  <c r="Q89" i="8"/>
  <c r="P89" i="8"/>
  <c r="O90" i="8"/>
  <c r="Q122" i="8" l="1"/>
  <c r="R122" i="8" s="1"/>
  <c r="P122" i="8"/>
  <c r="O123" i="8"/>
  <c r="N124" i="8" s="1"/>
  <c r="R89" i="8"/>
  <c r="N91" i="8"/>
  <c r="P90" i="8"/>
  <c r="Q90" i="8"/>
  <c r="O91" i="8"/>
  <c r="Q123" i="8" l="1"/>
  <c r="R123" i="8" s="1"/>
  <c r="P123" i="8"/>
  <c r="O124" i="8"/>
  <c r="N125" i="8" s="1"/>
  <c r="N92" i="8"/>
  <c r="Q91" i="8"/>
  <c r="R91" i="8" s="1"/>
  <c r="P91" i="8"/>
  <c r="O92" i="8"/>
  <c r="R90" i="8"/>
  <c r="P124" i="8" l="1"/>
  <c r="Q124" i="8"/>
  <c r="R124" i="8" s="1"/>
  <c r="O125" i="8"/>
  <c r="N126" i="8" s="1"/>
  <c r="D66" i="8"/>
  <c r="N93" i="8"/>
  <c r="P92" i="8"/>
  <c r="Q92" i="8"/>
  <c r="O93" i="8"/>
  <c r="D67" i="8"/>
  <c r="Q125" i="8" l="1"/>
  <c r="R125" i="8" s="1"/>
  <c r="P125" i="8"/>
  <c r="O126" i="8"/>
  <c r="N127" i="8" s="1"/>
  <c r="N94" i="8"/>
  <c r="P93" i="8"/>
  <c r="Q93" i="8"/>
  <c r="O94" i="8"/>
  <c r="R92" i="8"/>
  <c r="P126" i="8" l="1"/>
  <c r="Q126" i="8"/>
  <c r="R126" i="8" s="1"/>
  <c r="O127" i="8"/>
  <c r="N128" i="8" s="1"/>
  <c r="D68" i="8"/>
  <c r="N95" i="8"/>
  <c r="Q94" i="8"/>
  <c r="P94" i="8"/>
  <c r="O95" i="8"/>
  <c r="R93" i="8"/>
  <c r="P127" i="8" l="1"/>
  <c r="Q127" i="8"/>
  <c r="R127" i="8" s="1"/>
  <c r="O128" i="8"/>
  <c r="N129" i="8" s="1"/>
  <c r="N96" i="8"/>
  <c r="Q95" i="8"/>
  <c r="P95" i="8"/>
  <c r="O96" i="8"/>
  <c r="R94" i="8"/>
  <c r="P128" i="8" l="1"/>
  <c r="Q128" i="8"/>
  <c r="R128" i="8" s="1"/>
  <c r="O129" i="8"/>
  <c r="N130" i="8" s="1"/>
  <c r="R95" i="8"/>
  <c r="N97" i="8"/>
  <c r="Q96" i="8"/>
  <c r="P96" i="8"/>
  <c r="O97" i="8"/>
  <c r="P129" i="8" l="1"/>
  <c r="Q129" i="8"/>
  <c r="R129" i="8" s="1"/>
  <c r="O130" i="8"/>
  <c r="N131" i="8" s="1"/>
  <c r="R96" i="8"/>
  <c r="N98" i="8"/>
  <c r="P97" i="8"/>
  <c r="Q97" i="8"/>
  <c r="R97" i="8" s="1"/>
  <c r="O98" i="8"/>
  <c r="P130" i="8" l="1"/>
  <c r="Q130" i="8"/>
  <c r="R130" i="8" s="1"/>
  <c r="O131" i="8"/>
  <c r="N132" i="8" s="1"/>
  <c r="N99" i="8"/>
  <c r="Q98" i="8"/>
  <c r="P98" i="8"/>
  <c r="O99" i="8"/>
  <c r="P131" i="8" l="1"/>
  <c r="Q131" i="8"/>
  <c r="R131" i="8" s="1"/>
  <c r="O132" i="8"/>
  <c r="R98" i="8"/>
  <c r="N100" i="8"/>
  <c r="Q99" i="8"/>
  <c r="P99" i="8"/>
  <c r="O100" i="8"/>
  <c r="P132" i="8" l="1"/>
  <c r="P133" i="8" s="1"/>
  <c r="Q132" i="8"/>
  <c r="Q133" i="8" s="1"/>
  <c r="N101" i="8"/>
  <c r="Q100" i="8"/>
  <c r="P100" i="8"/>
  <c r="O101" i="8"/>
  <c r="R99" i="8"/>
  <c r="D125" i="8" l="1"/>
  <c r="D89" i="10"/>
  <c r="D124" i="8"/>
  <c r="D88" i="10"/>
  <c r="R132" i="8"/>
  <c r="R133" i="8" s="1"/>
  <c r="R134" i="8" s="1"/>
  <c r="R100" i="8"/>
  <c r="N102" i="8"/>
  <c r="Q101" i="8"/>
  <c r="P101" i="8"/>
  <c r="O102" i="8"/>
  <c r="D126" i="8" l="1"/>
  <c r="D90" i="10"/>
  <c r="N103" i="8"/>
  <c r="P102" i="8"/>
  <c r="Q102" i="8"/>
  <c r="O103" i="8"/>
  <c r="R101" i="8"/>
  <c r="Q103" i="8" l="1"/>
  <c r="R103" i="8" s="1"/>
  <c r="P103" i="8"/>
  <c r="R102" i="8"/>
  <c r="R104" i="8" l="1"/>
  <c r="R105" i="8" s="1"/>
  <c r="D97" i="8" s="1"/>
  <c r="D68" i="10" s="1"/>
  <c r="P104" i="8"/>
  <c r="D95" i="8" s="1"/>
  <c r="D66" i="10" s="1"/>
  <c r="Q104" i="8"/>
  <c r="D96" i="8" s="1"/>
  <c r="D67" i="10" s="1"/>
  <c r="F87" i="8"/>
  <c r="S102" i="8" l="1"/>
  <c r="S81" i="8"/>
  <c r="S95" i="8"/>
  <c r="S94" i="8"/>
  <c r="S82" i="8"/>
  <c r="S86" i="8"/>
  <c r="S97" i="8"/>
  <c r="S85" i="8"/>
  <c r="S103" i="8"/>
  <c r="S84" i="8"/>
  <c r="S96" i="8"/>
  <c r="S83" i="8"/>
  <c r="S89" i="8"/>
  <c r="S93" i="8"/>
  <c r="S92" i="8"/>
  <c r="S90" i="8"/>
  <c r="S80" i="8"/>
  <c r="X80" i="8" s="1"/>
  <c r="S91" i="8"/>
  <c r="S88" i="8"/>
  <c r="S87" i="8"/>
  <c r="S101" i="8"/>
  <c r="S99" i="8"/>
  <c r="S98" i="8"/>
  <c r="S100" i="8"/>
  <c r="D58" i="10"/>
  <c r="V81" i="8" l="1"/>
  <c r="X81" i="8" s="1"/>
  <c r="U80" i="8"/>
  <c r="U81" i="8" s="1"/>
  <c r="U82" i="8" s="1"/>
  <c r="V82" i="8"/>
  <c r="X82" i="8" s="1"/>
  <c r="W81" i="8" l="1"/>
  <c r="AA81" i="8" s="1"/>
  <c r="Z81" i="8"/>
  <c r="U83" i="8"/>
  <c r="Y81" i="8"/>
  <c r="AD81" i="8" s="1"/>
  <c r="AB81" i="8"/>
  <c r="V83" i="8"/>
  <c r="X83" i="8" s="1"/>
  <c r="W82" i="8"/>
  <c r="AA82" i="8" s="1"/>
  <c r="Z82" i="8"/>
  <c r="Y80" i="8"/>
  <c r="AD80" i="8" s="1"/>
  <c r="AB80" i="8"/>
  <c r="U84" i="8" l="1"/>
  <c r="W83" i="8"/>
  <c r="AA83" i="8" s="1"/>
  <c r="Z83" i="8"/>
  <c r="V84" i="8"/>
  <c r="X84" i="8" s="1"/>
  <c r="Y82" i="8"/>
  <c r="AD82" i="8" s="1"/>
  <c r="AB82" i="8"/>
  <c r="AC81" i="8" s="1"/>
  <c r="Y83" i="8" l="1"/>
  <c r="AD83" i="8" s="1"/>
  <c r="AB83" i="8"/>
  <c r="AC82" i="8" s="1"/>
  <c r="W84" i="8"/>
  <c r="AA84" i="8" s="1"/>
  <c r="Z84" i="8"/>
  <c r="V85" i="8"/>
  <c r="X85" i="8" s="1"/>
  <c r="U85" i="8"/>
  <c r="U86" i="8" s="1"/>
  <c r="Y84" i="8" l="1"/>
  <c r="AD84" i="8" s="1"/>
  <c r="AB84" i="8"/>
  <c r="AC83" i="8" s="1"/>
  <c r="W85" i="8"/>
  <c r="AA85" i="8" s="1"/>
  <c r="Z85" i="8"/>
  <c r="V86" i="8"/>
  <c r="X86" i="8" s="1"/>
  <c r="U87" i="8" l="1"/>
  <c r="Y85" i="8"/>
  <c r="AD85" i="8" s="1"/>
  <c r="AB85" i="8"/>
  <c r="AC84" i="8" s="1"/>
  <c r="W86" i="8"/>
  <c r="AA86" i="8" s="1"/>
  <c r="Z86" i="8"/>
  <c r="V87" i="8"/>
  <c r="U88" i="8" l="1"/>
  <c r="X87" i="8"/>
  <c r="Y86" i="8"/>
  <c r="AD86" i="8" s="1"/>
  <c r="AB86" i="8"/>
  <c r="AC85" i="8" s="1"/>
  <c r="W87" i="8"/>
  <c r="AA87" i="8" s="1"/>
  <c r="Z87" i="8"/>
  <c r="V88" i="8"/>
  <c r="U89" i="8" l="1"/>
  <c r="X88" i="8"/>
  <c r="Y87" i="8"/>
  <c r="AD87" i="8" s="1"/>
  <c r="AB87" i="8"/>
  <c r="AC86" i="8" s="1"/>
  <c r="W88" i="8"/>
  <c r="AA88" i="8" s="1"/>
  <c r="Z88" i="8"/>
  <c r="V89" i="8"/>
  <c r="U90" i="8" l="1"/>
  <c r="X89" i="8"/>
  <c r="Y88" i="8"/>
  <c r="AD88" i="8" s="1"/>
  <c r="AB88" i="8"/>
  <c r="AC87" i="8" s="1"/>
  <c r="W89" i="8"/>
  <c r="Z89" i="8"/>
  <c r="V90" i="8"/>
  <c r="U91" i="8" l="1"/>
  <c r="X90" i="8"/>
  <c r="W90" i="8"/>
  <c r="AA90" i="8" s="1"/>
  <c r="Z90" i="8"/>
  <c r="V91" i="8"/>
  <c r="AA89" i="8"/>
  <c r="Y89" i="8"/>
  <c r="AB89" i="8"/>
  <c r="AC88" i="8" s="1"/>
  <c r="G118" i="8"/>
  <c r="AG108" i="8" s="1"/>
  <c r="U92" i="8" l="1"/>
  <c r="X91" i="8"/>
  <c r="Y91" i="8" s="1"/>
  <c r="AD91" i="8" s="1"/>
  <c r="AD89" i="8"/>
  <c r="W91" i="8"/>
  <c r="Z91" i="8"/>
  <c r="V92" i="8"/>
  <c r="Y90" i="8"/>
  <c r="AD90" i="8" s="1"/>
  <c r="AB90" i="8"/>
  <c r="G119" i="8"/>
  <c r="D84" i="10" s="1"/>
  <c r="U93" i="8" l="1"/>
  <c r="X92" i="8"/>
  <c r="F66" i="8"/>
  <c r="AA91" i="8"/>
  <c r="W92" i="8"/>
  <c r="AA92" i="8" s="1"/>
  <c r="Z92" i="8"/>
  <c r="V93" i="8"/>
  <c r="F67" i="8"/>
  <c r="AB91" i="8"/>
  <c r="AC89" i="8"/>
  <c r="D120" i="8"/>
  <c r="AG109" i="8" s="1"/>
  <c r="AG112" i="8" s="1"/>
  <c r="S126" i="8" s="1"/>
  <c r="C30" i="3"/>
  <c r="C29" i="3" s="1"/>
  <c r="U94" i="8" l="1"/>
  <c r="X93" i="8"/>
  <c r="E67" i="8"/>
  <c r="AC90" i="8"/>
  <c r="Y92" i="8"/>
  <c r="AB92" i="8"/>
  <c r="W93" i="8"/>
  <c r="Z93" i="8"/>
  <c r="V94" i="8"/>
  <c r="E66" i="8"/>
  <c r="S113" i="8"/>
  <c r="S109" i="8"/>
  <c r="X109" i="8" s="1"/>
  <c r="S115" i="8"/>
  <c r="S112" i="8"/>
  <c r="S130" i="8"/>
  <c r="S129" i="8"/>
  <c r="S128" i="8"/>
  <c r="S131" i="8"/>
  <c r="S111" i="8"/>
  <c r="S122" i="8"/>
  <c r="S121" i="8"/>
  <c r="S124" i="8"/>
  <c r="S127" i="8"/>
  <c r="S110" i="8"/>
  <c r="S114" i="8"/>
  <c r="S117" i="8"/>
  <c r="S120" i="8"/>
  <c r="S119" i="8"/>
  <c r="S118" i="8"/>
  <c r="S125" i="8"/>
  <c r="S132" i="8"/>
  <c r="S116" i="8"/>
  <c r="S123" i="8"/>
  <c r="U95" i="8" l="1"/>
  <c r="U96" i="8" s="1"/>
  <c r="X94" i="8"/>
  <c r="V110" i="8"/>
  <c r="X110" i="8" s="1"/>
  <c r="U109" i="8"/>
  <c r="U110" i="8" s="1"/>
  <c r="U111" i="8" s="1"/>
  <c r="W94" i="8"/>
  <c r="AA94" i="8" s="1"/>
  <c r="Z94" i="8"/>
  <c r="V95" i="8"/>
  <c r="X95" i="8" s="1"/>
  <c r="AA93" i="8"/>
  <c r="AC91" i="8"/>
  <c r="Y93" i="8"/>
  <c r="AD93" i="8" s="1"/>
  <c r="AB93" i="8"/>
  <c r="AC92" i="8" s="1"/>
  <c r="F68" i="8"/>
  <c r="AD92" i="8"/>
  <c r="E68" i="8" s="1"/>
  <c r="AB109" i="8"/>
  <c r="Y109" i="8"/>
  <c r="Z110" i="8"/>
  <c r="V111" i="8" l="1"/>
  <c r="X111" i="8" s="1"/>
  <c r="W110" i="8"/>
  <c r="AA110" i="8" s="1"/>
  <c r="Y111" i="8"/>
  <c r="AD111" i="8" s="1"/>
  <c r="Y94" i="8"/>
  <c r="AB94" i="8"/>
  <c r="AC93" i="8" s="1"/>
  <c r="W95" i="8"/>
  <c r="Z95" i="8"/>
  <c r="V96" i="8"/>
  <c r="Z111" i="8"/>
  <c r="W111" i="8"/>
  <c r="AA111" i="8" s="1"/>
  <c r="V112" i="8"/>
  <c r="U112" i="8"/>
  <c r="AB110" i="8"/>
  <c r="Y110" i="8"/>
  <c r="AD110" i="8" s="1"/>
  <c r="AB111" i="8"/>
  <c r="AC110" i="8" s="1"/>
  <c r="AD109" i="8"/>
  <c r="U97" i="8" l="1"/>
  <c r="X96" i="8"/>
  <c r="X112" i="8"/>
  <c r="AB112" i="8" s="1"/>
  <c r="AC111" i="8" s="1"/>
  <c r="Y95" i="8"/>
  <c r="AD95" i="8" s="1"/>
  <c r="AB95" i="8"/>
  <c r="AD94" i="8"/>
  <c r="W96" i="8"/>
  <c r="AA96" i="8" s="1"/>
  <c r="Z96" i="8"/>
  <c r="V97" i="8"/>
  <c r="AA95" i="8"/>
  <c r="V113" i="8"/>
  <c r="Z112" i="8"/>
  <c r="U113" i="8"/>
  <c r="W112" i="8"/>
  <c r="AA112" i="8" s="1"/>
  <c r="Y112" i="8"/>
  <c r="AD112" i="8" s="1"/>
  <c r="U98" i="8" l="1"/>
  <c r="X97" i="8"/>
  <c r="W113" i="8"/>
  <c r="X113" i="8"/>
  <c r="Y96" i="8"/>
  <c r="AD96" i="8" s="1"/>
  <c r="AB96" i="8"/>
  <c r="AC95" i="8" s="1"/>
  <c r="W97" i="8"/>
  <c r="Z97" i="8"/>
  <c r="V98" i="8"/>
  <c r="AC94" i="8"/>
  <c r="V114" i="8"/>
  <c r="X114" i="8" s="1"/>
  <c r="AB113" i="8"/>
  <c r="U114" i="8"/>
  <c r="Z113" i="8"/>
  <c r="AA113" i="8"/>
  <c r="Y113" i="8"/>
  <c r="AD113" i="8" s="1"/>
  <c r="U99" i="8" l="1"/>
  <c r="X98" i="8"/>
  <c r="AB98" i="8" s="1"/>
  <c r="AC97" i="8" s="1"/>
  <c r="W98" i="8"/>
  <c r="AA98" i="8" s="1"/>
  <c r="V99" i="8"/>
  <c r="X99" i="8" s="1"/>
  <c r="Z98" i="8"/>
  <c r="AA97" i="8"/>
  <c r="Y97" i="8"/>
  <c r="AD97" i="8" s="1"/>
  <c r="AB97" i="8"/>
  <c r="AC96" i="8" s="1"/>
  <c r="U115" i="8"/>
  <c r="V115" i="8"/>
  <c r="Z114" i="8"/>
  <c r="W114" i="8"/>
  <c r="AA114" i="8" s="1"/>
  <c r="AC112" i="8"/>
  <c r="Y114" i="8"/>
  <c r="AD114" i="8" s="1"/>
  <c r="AB114" i="8"/>
  <c r="AC113" i="8" s="1"/>
  <c r="W115" i="8" l="1"/>
  <c r="X115" i="8"/>
  <c r="AB115" i="8" s="1"/>
  <c r="AC114" i="8" s="1"/>
  <c r="U116" i="8"/>
  <c r="Y98" i="8"/>
  <c r="AD98" i="8" s="1"/>
  <c r="U100" i="8"/>
  <c r="W99" i="8"/>
  <c r="AA99" i="8" s="1"/>
  <c r="V100" i="8"/>
  <c r="X100" i="8" s="1"/>
  <c r="Z99" i="8"/>
  <c r="AB99" i="8"/>
  <c r="AC98" i="8" s="1"/>
  <c r="Z115" i="8"/>
  <c r="V116" i="8"/>
  <c r="AA115" i="8"/>
  <c r="U117" i="8" l="1"/>
  <c r="X116" i="8"/>
  <c r="AB116" i="8" s="1"/>
  <c r="AC115" i="8" s="1"/>
  <c r="Y99" i="8"/>
  <c r="AD99" i="8" s="1"/>
  <c r="V101" i="8"/>
  <c r="X101" i="8" s="1"/>
  <c r="W100" i="8"/>
  <c r="AA100" i="8" s="1"/>
  <c r="U101" i="8"/>
  <c r="Z100" i="8"/>
  <c r="AB100" i="8"/>
  <c r="AC99" i="8" s="1"/>
  <c r="W116" i="8"/>
  <c r="AA116" i="8" s="1"/>
  <c r="V117" i="8"/>
  <c r="Z116" i="8"/>
  <c r="Y115" i="8"/>
  <c r="AD115" i="8" s="1"/>
  <c r="U118" i="8" l="1"/>
  <c r="X117" i="8"/>
  <c r="Y100" i="8"/>
  <c r="AD100" i="8" s="1"/>
  <c r="AB101" i="8"/>
  <c r="AC100" i="8" s="1"/>
  <c r="W101" i="8"/>
  <c r="AA101" i="8" s="1"/>
  <c r="V102" i="8"/>
  <c r="X102" i="8" s="1"/>
  <c r="U102" i="8"/>
  <c r="Z101" i="8"/>
  <c r="Y116" i="8"/>
  <c r="AD116" i="8" s="1"/>
  <c r="AB117" i="8"/>
  <c r="AC116" i="8" s="1"/>
  <c r="Z117" i="8"/>
  <c r="V118" i="8"/>
  <c r="W117" i="8"/>
  <c r="AA117" i="8" s="1"/>
  <c r="Z118" i="8" l="1"/>
  <c r="X118" i="8"/>
  <c r="Y101" i="8"/>
  <c r="AD101" i="8" s="1"/>
  <c r="Y117" i="8"/>
  <c r="AD117" i="8" s="1"/>
  <c r="V103" i="8"/>
  <c r="X103" i="8" s="1"/>
  <c r="Y102" i="8"/>
  <c r="AD102" i="8" s="1"/>
  <c r="U103" i="8"/>
  <c r="Z102" i="8"/>
  <c r="W102" i="8"/>
  <c r="AA102" i="8" s="1"/>
  <c r="AB118" i="8"/>
  <c r="AC117" i="8" s="1"/>
  <c r="W118" i="8"/>
  <c r="AA118" i="8" s="1"/>
  <c r="U119" i="8"/>
  <c r="V119" i="8"/>
  <c r="X119" i="8" l="1"/>
  <c r="AB119" i="8" s="1"/>
  <c r="AC118" i="8" s="1"/>
  <c r="AB102" i="8"/>
  <c r="AC101" i="8" s="1"/>
  <c r="Z103" i="8"/>
  <c r="Z104" i="8" s="1"/>
  <c r="AG90" i="8" s="1"/>
  <c r="Y103" i="8"/>
  <c r="W103" i="8"/>
  <c r="AG88" i="8"/>
  <c r="U120" i="8"/>
  <c r="W119" i="8"/>
  <c r="AA119" i="8" s="1"/>
  <c r="V120" i="8"/>
  <c r="Z119" i="8"/>
  <c r="Y118" i="8"/>
  <c r="AD118" i="8" s="1"/>
  <c r="Y119" i="8" l="1"/>
  <c r="AD119" i="8" s="1"/>
  <c r="W120" i="8"/>
  <c r="AA120" i="8" s="1"/>
  <c r="X120" i="8"/>
  <c r="AB120" i="8" s="1"/>
  <c r="AC119" i="8" s="1"/>
  <c r="U121" i="8"/>
  <c r="Z120" i="8"/>
  <c r="AA103" i="8"/>
  <c r="AA104" i="8" s="1"/>
  <c r="E95" i="8" s="1"/>
  <c r="E66" i="10" s="1"/>
  <c r="W104" i="8"/>
  <c r="AC103" i="8"/>
  <c r="AB103" i="8"/>
  <c r="AC102" i="8" s="1"/>
  <c r="X104" i="8"/>
  <c r="F96" i="8" s="1"/>
  <c r="F67" i="10" s="1"/>
  <c r="C20" i="3" s="1"/>
  <c r="AG86" i="8"/>
  <c r="AD103" i="8"/>
  <c r="AD104" i="8" s="1"/>
  <c r="AD105" i="8" s="1"/>
  <c r="Y104" i="8"/>
  <c r="V121" i="8"/>
  <c r="X121" i="8" s="1"/>
  <c r="U122" i="8" l="1"/>
  <c r="Y120" i="8"/>
  <c r="AD120" i="8" s="1"/>
  <c r="AC80" i="8"/>
  <c r="AB104" i="8"/>
  <c r="E96" i="8" s="1"/>
  <c r="E67" i="10" s="1"/>
  <c r="Y105" i="8"/>
  <c r="F97" i="8" s="1"/>
  <c r="F68" i="10" s="1"/>
  <c r="E97" i="8"/>
  <c r="E68" i="10" s="1"/>
  <c r="C21" i="3" s="1"/>
  <c r="F95" i="8"/>
  <c r="F66" i="10" s="1"/>
  <c r="C19" i="3" s="1"/>
  <c r="AG92" i="8"/>
  <c r="AB121" i="8"/>
  <c r="AC120" i="8" s="1"/>
  <c r="Z121" i="8"/>
  <c r="V122" i="8"/>
  <c r="W121" i="8"/>
  <c r="AA121" i="8" s="1"/>
  <c r="X122" i="8" l="1"/>
  <c r="Y122" i="8" s="1"/>
  <c r="AD122" i="8" s="1"/>
  <c r="V123" i="8"/>
  <c r="U123" i="8"/>
  <c r="Z122" i="8"/>
  <c r="W122" i="8"/>
  <c r="AA122" i="8" s="1"/>
  <c r="Y121" i="8"/>
  <c r="AD121" i="8" s="1"/>
  <c r="AB122" i="8" l="1"/>
  <c r="AC121" i="8" s="1"/>
  <c r="X123" i="8"/>
  <c r="Y123" i="8" s="1"/>
  <c r="AD123" i="8" s="1"/>
  <c r="W123" i="8"/>
  <c r="AA123" i="8" s="1"/>
  <c r="Z123" i="8"/>
  <c r="U124" i="8"/>
  <c r="U125" i="8" s="1"/>
  <c r="V124" i="8"/>
  <c r="AB123" i="8" l="1"/>
  <c r="AC122" i="8" s="1"/>
  <c r="X124" i="8"/>
  <c r="AB124" i="8" s="1"/>
  <c r="AC123" i="8" s="1"/>
  <c r="Z124" i="8"/>
  <c r="V125" i="8"/>
  <c r="W124" i="8"/>
  <c r="AA124" i="8" s="1"/>
  <c r="Y124" i="8"/>
  <c r="AD124" i="8" s="1"/>
  <c r="U126" i="8" l="1"/>
  <c r="X125" i="8"/>
  <c r="AB125" i="8" s="1"/>
  <c r="AC124" i="8" s="1"/>
  <c r="W125" i="8"/>
  <c r="AA125" i="8" s="1"/>
  <c r="Z125" i="8"/>
  <c r="V126" i="8"/>
  <c r="U127" i="8" l="1"/>
  <c r="X126" i="8"/>
  <c r="W126" i="8"/>
  <c r="AA126" i="8" s="1"/>
  <c r="V127" i="8"/>
  <c r="Z126" i="8"/>
  <c r="Y125" i="8"/>
  <c r="AD125" i="8" s="1"/>
  <c r="AB126" i="8"/>
  <c r="AC125" i="8" s="1"/>
  <c r="W127" i="8"/>
  <c r="AA127" i="8" s="1"/>
  <c r="X127" i="8" l="1"/>
  <c r="AB127" i="8" s="1"/>
  <c r="AC126" i="8" s="1"/>
  <c r="U128" i="8"/>
  <c r="V128" i="8"/>
  <c r="Z127" i="8"/>
  <c r="Y126" i="8"/>
  <c r="AD126" i="8" s="1"/>
  <c r="Y127" i="8"/>
  <c r="AD127" i="8" s="1"/>
  <c r="Z128" i="8" l="1"/>
  <c r="X128" i="8"/>
  <c r="W128" i="8"/>
  <c r="AA128" i="8" s="1"/>
  <c r="V129" i="8"/>
  <c r="U129" i="8"/>
  <c r="U130" i="8" s="1"/>
  <c r="AB128" i="8"/>
  <c r="AC127" i="8" s="1"/>
  <c r="Z129" i="8" l="1"/>
  <c r="X129" i="8"/>
  <c r="AB129" i="8" s="1"/>
  <c r="AC128" i="8" s="1"/>
  <c r="W129" i="8"/>
  <c r="AA129" i="8" s="1"/>
  <c r="V130" i="8"/>
  <c r="V131" i="8" s="1"/>
  <c r="X131" i="8" s="1"/>
  <c r="Y128" i="8"/>
  <c r="AD128" i="8" s="1"/>
  <c r="W130" i="8" l="1"/>
  <c r="AA130" i="8" s="1"/>
  <c r="X130" i="8"/>
  <c r="AB130" i="8" s="1"/>
  <c r="Z130" i="8"/>
  <c r="U131" i="8"/>
  <c r="Y129" i="8"/>
  <c r="AD129" i="8" s="1"/>
  <c r="AC129" i="8"/>
  <c r="W131" i="8"/>
  <c r="AA131" i="8" s="1"/>
  <c r="Z131" i="8"/>
  <c r="U132" i="8"/>
  <c r="V132" i="8"/>
  <c r="X132" i="8" s="1"/>
  <c r="Y130" i="8"/>
  <c r="AD130" i="8" s="1"/>
  <c r="W132" i="8" l="1"/>
  <c r="Z132" i="8"/>
  <c r="Z133" i="8" s="1"/>
  <c r="AG119" i="8" s="1"/>
  <c r="AG117" i="8"/>
  <c r="AB131" i="8"/>
  <c r="AC130" i="8" s="1"/>
  <c r="Y131" i="8"/>
  <c r="AD131" i="8" s="1"/>
  <c r="X133" i="8" l="1"/>
  <c r="AC132" i="8"/>
  <c r="AB132" i="8"/>
  <c r="AG115" i="8"/>
  <c r="AA132" i="8"/>
  <c r="AA133" i="8" s="1"/>
  <c r="W133" i="8"/>
  <c r="Y132" i="8"/>
  <c r="AD132" i="8" l="1"/>
  <c r="AD133" i="8" s="1"/>
  <c r="AD134" i="8" s="1"/>
  <c r="Y133" i="8"/>
  <c r="E124" i="8"/>
  <c r="E88" i="10"/>
  <c r="F125" i="8"/>
  <c r="F89" i="10"/>
  <c r="C27" i="3" s="1"/>
  <c r="AC109" i="8"/>
  <c r="AB133" i="8"/>
  <c r="AC131" i="8"/>
  <c r="F88" i="10"/>
  <c r="C26" i="3" s="1"/>
  <c r="AG121" i="8"/>
  <c r="F124" i="8"/>
  <c r="E126" i="8" l="1"/>
  <c r="E90" i="10"/>
  <c r="C28" i="3" s="1"/>
  <c r="Y134" i="8"/>
  <c r="E125" i="8"/>
  <c r="E89" i="10"/>
  <c r="F90" i="10" l="1"/>
  <c r="F126" i="8"/>
  <c r="F167" i="8"/>
  <c r="E117" i="10" s="1"/>
  <c r="G176" i="8"/>
  <c r="G177" i="8"/>
  <c r="L168" i="8" l="1"/>
  <c r="L172" i="8"/>
  <c r="L176" i="8"/>
  <c r="L180" i="8"/>
  <c r="L184" i="8"/>
  <c r="L188" i="8"/>
  <c r="L170" i="8"/>
  <c r="L174" i="8"/>
  <c r="L182" i="8"/>
  <c r="L186" i="8"/>
  <c r="L169" i="8"/>
  <c r="L173" i="8"/>
  <c r="L177" i="8"/>
  <c r="L181" i="8"/>
  <c r="L185" i="8"/>
  <c r="L189" i="8"/>
  <c r="L178" i="8"/>
  <c r="L190" i="8"/>
  <c r="L171" i="8"/>
  <c r="L175" i="8"/>
  <c r="L179" i="8"/>
  <c r="L183" i="8"/>
  <c r="L187" i="8"/>
  <c r="L167" i="8"/>
  <c r="F174" i="8"/>
  <c r="D124" i="10" s="1"/>
  <c r="AG166" i="8"/>
  <c r="D128" i="10"/>
  <c r="N167" i="8" l="1"/>
  <c r="N168" i="8" s="1"/>
  <c r="Q167" i="8"/>
  <c r="R167" i="8" s="1"/>
  <c r="O168" i="8"/>
  <c r="D178" i="8"/>
  <c r="AG167" i="8" s="1"/>
  <c r="AG170" i="8" s="1"/>
  <c r="C44" i="3"/>
  <c r="C43" i="3" s="1"/>
  <c r="Q168" i="8" l="1"/>
  <c r="R168" i="8" s="1"/>
  <c r="P168" i="8"/>
  <c r="O169" i="8"/>
  <c r="N169" i="8"/>
  <c r="S173" i="8"/>
  <c r="S174" i="8"/>
  <c r="S190" i="8"/>
  <c r="S172" i="8"/>
  <c r="S188" i="8"/>
  <c r="S181" i="8"/>
  <c r="S175" i="8"/>
  <c r="S178" i="8"/>
  <c r="S179" i="8"/>
  <c r="S176" i="8"/>
  <c r="S169" i="8"/>
  <c r="S185" i="8"/>
  <c r="S183" i="8"/>
  <c r="S182" i="8"/>
  <c r="S187" i="8"/>
  <c r="S180" i="8"/>
  <c r="S189" i="8"/>
  <c r="S167" i="8"/>
  <c r="X167" i="8" s="1"/>
  <c r="S170" i="8"/>
  <c r="S186" i="8"/>
  <c r="S168" i="8"/>
  <c r="S184" i="8"/>
  <c r="S177" i="8"/>
  <c r="S171" i="8"/>
  <c r="Q169" i="8" l="1"/>
  <c r="R169" i="8" s="1"/>
  <c r="P169" i="8"/>
  <c r="O170" i="8"/>
  <c r="N170" i="8"/>
  <c r="V168" i="8"/>
  <c r="V169" i="8" s="1"/>
  <c r="X169" i="8" s="1"/>
  <c r="U167" i="8"/>
  <c r="U168" i="8" s="1"/>
  <c r="X168" i="8" l="1"/>
  <c r="P170" i="8"/>
  <c r="Q170" i="8"/>
  <c r="R170" i="8" s="1"/>
  <c r="O171" i="8"/>
  <c r="N171" i="8"/>
  <c r="U169" i="8"/>
  <c r="U170" i="8" s="1"/>
  <c r="Y167" i="8"/>
  <c r="AD167" i="8" s="1"/>
  <c r="AB167" i="8"/>
  <c r="W169" i="8"/>
  <c r="AA169" i="8" s="1"/>
  <c r="Z169" i="8"/>
  <c r="V170" i="8"/>
  <c r="X170" i="8" s="1"/>
  <c r="W168" i="8"/>
  <c r="AA168" i="8" s="1"/>
  <c r="Z168" i="8"/>
  <c r="P171" i="8" l="1"/>
  <c r="Q171" i="8"/>
  <c r="R171" i="8" s="1"/>
  <c r="N172" i="8"/>
  <c r="O172" i="8"/>
  <c r="AB169" i="8"/>
  <c r="AC168" i="8" s="1"/>
  <c r="Y169" i="8"/>
  <c r="AD169" i="8" s="1"/>
  <c r="Z170" i="8"/>
  <c r="U171" i="8"/>
  <c r="W170" i="8"/>
  <c r="AA170" i="8" s="1"/>
  <c r="V171" i="8"/>
  <c r="X171" i="8" s="1"/>
  <c r="Y168" i="8"/>
  <c r="AD168" i="8" s="1"/>
  <c r="AB168" i="8"/>
  <c r="Q172" i="8" l="1"/>
  <c r="R172" i="8" s="1"/>
  <c r="P172" i="8"/>
  <c r="O173" i="8"/>
  <c r="N173" i="8"/>
  <c r="Y170" i="8"/>
  <c r="AD170" i="8" s="1"/>
  <c r="AB170" i="8"/>
  <c r="AC169" i="8" s="1"/>
  <c r="V172" i="8"/>
  <c r="X172" i="8" s="1"/>
  <c r="W171" i="8"/>
  <c r="AA171" i="8" s="1"/>
  <c r="Z171" i="8"/>
  <c r="U172" i="8"/>
  <c r="Q173" i="8" l="1"/>
  <c r="R173" i="8" s="1"/>
  <c r="P173" i="8"/>
  <c r="O174" i="8"/>
  <c r="N174" i="8"/>
  <c r="AB171" i="8"/>
  <c r="AC170" i="8" s="1"/>
  <c r="Y171" i="8"/>
  <c r="AD171" i="8" s="1"/>
  <c r="W172" i="8"/>
  <c r="AA172" i="8" s="1"/>
  <c r="Z172" i="8"/>
  <c r="V173" i="8"/>
  <c r="X173" i="8" s="1"/>
  <c r="U173" i="8"/>
  <c r="Q174" i="8" l="1"/>
  <c r="R174" i="8" s="1"/>
  <c r="P174" i="8"/>
  <c r="O175" i="8"/>
  <c r="N175" i="8"/>
  <c r="AB172" i="8"/>
  <c r="AC171" i="8" s="1"/>
  <c r="Y172" i="8"/>
  <c r="AD172" i="8" s="1"/>
  <c r="U174" i="8"/>
  <c r="V174" i="8"/>
  <c r="X174" i="8" s="1"/>
  <c r="W173" i="8"/>
  <c r="AA173" i="8" s="1"/>
  <c r="Z173" i="8"/>
  <c r="P175" i="8" l="1"/>
  <c r="Q175" i="8"/>
  <c r="R175" i="8" s="1"/>
  <c r="N176" i="8"/>
  <c r="O176" i="8"/>
  <c r="AB173" i="8"/>
  <c r="AC172" i="8" s="1"/>
  <c r="Y173" i="8"/>
  <c r="AD173" i="8" s="1"/>
  <c r="V175" i="8"/>
  <c r="X175" i="8" s="1"/>
  <c r="Z174" i="8"/>
  <c r="U175" i="8"/>
  <c r="W174" i="8"/>
  <c r="AA174" i="8" s="1"/>
  <c r="P176" i="8" l="1"/>
  <c r="Q176" i="8"/>
  <c r="R176" i="8" s="1"/>
  <c r="N177" i="8"/>
  <c r="O177" i="8"/>
  <c r="Y174" i="8"/>
  <c r="AD174" i="8" s="1"/>
  <c r="AB174" i="8"/>
  <c r="AC173" i="8" s="1"/>
  <c r="W175" i="8"/>
  <c r="AA175" i="8" s="1"/>
  <c r="Z175" i="8"/>
  <c r="U176" i="8"/>
  <c r="V176" i="8"/>
  <c r="X176" i="8" s="1"/>
  <c r="Q177" i="8" l="1"/>
  <c r="R177" i="8" s="1"/>
  <c r="P177" i="8"/>
  <c r="N178" i="8"/>
  <c r="O178" i="8"/>
  <c r="W176" i="8"/>
  <c r="AA176" i="8" s="1"/>
  <c r="AB176" i="8"/>
  <c r="AC175" i="8" s="1"/>
  <c r="U177" i="8"/>
  <c r="Z176" i="8"/>
  <c r="V177" i="8"/>
  <c r="X177" i="8" s="1"/>
  <c r="AB175" i="8"/>
  <c r="AC174" i="8" s="1"/>
  <c r="Y175" i="8"/>
  <c r="AD175" i="8" s="1"/>
  <c r="Y176" i="8" l="1"/>
  <c r="AD176" i="8" s="1"/>
  <c r="P178" i="8"/>
  <c r="Q178" i="8"/>
  <c r="R178" i="8" s="1"/>
  <c r="N179" i="8"/>
  <c r="O179" i="8"/>
  <c r="Z177" i="8"/>
  <c r="W177" i="8"/>
  <c r="AA177" i="8" s="1"/>
  <c r="U178" i="8"/>
  <c r="V178" i="8"/>
  <c r="X178" i="8" s="1"/>
  <c r="P179" i="8" l="1"/>
  <c r="Q179" i="8"/>
  <c r="R179" i="8" s="1"/>
  <c r="O180" i="8"/>
  <c r="N180" i="8"/>
  <c r="Y177" i="8"/>
  <c r="AD177" i="8" s="1"/>
  <c r="AB177" i="8"/>
  <c r="AC176" i="8" s="1"/>
  <c r="W178" i="8"/>
  <c r="AA178" i="8" s="1"/>
  <c r="V179" i="8"/>
  <c r="X179" i="8" s="1"/>
  <c r="Z178" i="8"/>
  <c r="U179" i="8"/>
  <c r="Q180" i="8" l="1"/>
  <c r="R180" i="8" s="1"/>
  <c r="P180" i="8"/>
  <c r="O181" i="8"/>
  <c r="N181" i="8"/>
  <c r="Z179" i="8"/>
  <c r="U180" i="8"/>
  <c r="V180" i="8"/>
  <c r="X180" i="8" s="1"/>
  <c r="W179" i="8"/>
  <c r="AA179" i="8" s="1"/>
  <c r="AB178" i="8"/>
  <c r="AC177" i="8" s="1"/>
  <c r="Y178" i="8"/>
  <c r="AD178" i="8" s="1"/>
  <c r="Q181" i="8" l="1"/>
  <c r="R181" i="8" s="1"/>
  <c r="P181" i="8"/>
  <c r="N182" i="8"/>
  <c r="O182" i="8"/>
  <c r="AB179" i="8"/>
  <c r="AC178" i="8" s="1"/>
  <c r="Y179" i="8"/>
  <c r="AD179" i="8" s="1"/>
  <c r="Z180" i="8"/>
  <c r="V181" i="8"/>
  <c r="X181" i="8" s="1"/>
  <c r="W180" i="8"/>
  <c r="AA180" i="8" s="1"/>
  <c r="U181" i="8"/>
  <c r="Q182" i="8" l="1"/>
  <c r="R182" i="8" s="1"/>
  <c r="P182" i="8"/>
  <c r="O183" i="8"/>
  <c r="N183" i="8"/>
  <c r="Y180" i="8"/>
  <c r="AD180" i="8" s="1"/>
  <c r="AB180" i="8"/>
  <c r="AC179" i="8" s="1"/>
  <c r="U182" i="8"/>
  <c r="Z181" i="8"/>
  <c r="AB181" i="8"/>
  <c r="AC180" i="8" s="1"/>
  <c r="W181" i="8"/>
  <c r="AA181" i="8" s="1"/>
  <c r="V182" i="8"/>
  <c r="X182" i="8" s="1"/>
  <c r="U183" i="8" l="1"/>
  <c r="P183" i="8"/>
  <c r="Q183" i="8"/>
  <c r="R183" i="8" s="1"/>
  <c r="O184" i="8"/>
  <c r="N184" i="8"/>
  <c r="Y181" i="8"/>
  <c r="AD181" i="8" s="1"/>
  <c r="Z182" i="8"/>
  <c r="W182" i="8"/>
  <c r="AA182" i="8" s="1"/>
  <c r="V183" i="8"/>
  <c r="X183" i="8" s="1"/>
  <c r="Q184" i="8" l="1"/>
  <c r="R184" i="8" s="1"/>
  <c r="P184" i="8"/>
  <c r="N185" i="8"/>
  <c r="O185" i="8"/>
  <c r="AB182" i="8"/>
  <c r="AC181" i="8" s="1"/>
  <c r="Y182" i="8"/>
  <c r="AD182" i="8" s="1"/>
  <c r="U184" i="8"/>
  <c r="V184" i="8"/>
  <c r="X184" i="8" s="1"/>
  <c r="W183" i="8"/>
  <c r="AA183" i="8" s="1"/>
  <c r="Z183" i="8"/>
  <c r="P185" i="8" l="1"/>
  <c r="Q185" i="8"/>
  <c r="R185" i="8" s="1"/>
  <c r="O186" i="8"/>
  <c r="N186" i="8"/>
  <c r="AB183" i="8"/>
  <c r="AC182" i="8" s="1"/>
  <c r="Y183" i="8"/>
  <c r="AD183" i="8" s="1"/>
  <c r="V185" i="8"/>
  <c r="X185" i="8" s="1"/>
  <c r="Z184" i="8"/>
  <c r="U185" i="8"/>
  <c r="W184" i="8"/>
  <c r="AA184" i="8" s="1"/>
  <c r="P186" i="8" l="1"/>
  <c r="Q186" i="8"/>
  <c r="R186" i="8" s="1"/>
  <c r="O187" i="8"/>
  <c r="N187" i="8"/>
  <c r="AB185" i="8"/>
  <c r="AC184" i="8" s="1"/>
  <c r="U186" i="8"/>
  <c r="W185" i="8"/>
  <c r="AA185" i="8" s="1"/>
  <c r="V186" i="8"/>
  <c r="X186" i="8" s="1"/>
  <c r="Z185" i="8"/>
  <c r="Y184" i="8"/>
  <c r="AD184" i="8" s="1"/>
  <c r="AB184" i="8"/>
  <c r="AC183" i="8" s="1"/>
  <c r="P187" i="8" l="1"/>
  <c r="Q187" i="8"/>
  <c r="R187" i="8" s="1"/>
  <c r="N188" i="8"/>
  <c r="O188" i="8"/>
  <c r="V187" i="8"/>
  <c r="X187" i="8" s="1"/>
  <c r="Z186" i="8"/>
  <c r="AB186" i="8"/>
  <c r="AC185" i="8" s="1"/>
  <c r="U187" i="8"/>
  <c r="W186" i="8"/>
  <c r="AA186" i="8" s="1"/>
  <c r="Y185" i="8"/>
  <c r="AD185" i="8" s="1"/>
  <c r="P188" i="8" l="1"/>
  <c r="Q188" i="8"/>
  <c r="R188" i="8" s="1"/>
  <c r="O189" i="8"/>
  <c r="N189" i="8"/>
  <c r="Y186" i="8"/>
  <c r="AD186" i="8" s="1"/>
  <c r="V188" i="8"/>
  <c r="X188" i="8" s="1"/>
  <c r="U188" i="8"/>
  <c r="W187" i="8"/>
  <c r="AA187" i="8" s="1"/>
  <c r="Z187" i="8"/>
  <c r="P189" i="8" l="1"/>
  <c r="Q189" i="8"/>
  <c r="R189" i="8" s="1"/>
  <c r="O190" i="8"/>
  <c r="N190" i="8"/>
  <c r="AB187" i="8"/>
  <c r="AC186" i="8" s="1"/>
  <c r="Y187" i="8"/>
  <c r="AD187" i="8" s="1"/>
  <c r="W188" i="8"/>
  <c r="AA188" i="8" s="1"/>
  <c r="Z188" i="8"/>
  <c r="V189" i="8"/>
  <c r="X189" i="8" s="1"/>
  <c r="U189" i="8"/>
  <c r="Q190" i="8" l="1"/>
  <c r="Q191" i="8" s="1"/>
  <c r="D183" i="8" s="1"/>
  <c r="D133" i="10" s="1"/>
  <c r="P190" i="8"/>
  <c r="P191" i="8" s="1"/>
  <c r="D182" i="8" s="1"/>
  <c r="D132" i="10" s="1"/>
  <c r="W189" i="8"/>
  <c r="AA189" i="8" s="1"/>
  <c r="V190" i="8"/>
  <c r="Z189" i="8"/>
  <c r="U190" i="8"/>
  <c r="Y188" i="8"/>
  <c r="AD188" i="8" s="1"/>
  <c r="AB188" i="8"/>
  <c r="AC187" i="8" s="1"/>
  <c r="AG175" i="8" l="1"/>
  <c r="X190" i="8"/>
  <c r="R190" i="8"/>
  <c r="R191" i="8" s="1"/>
  <c r="R192" i="8" s="1"/>
  <c r="D184" i="8" s="1"/>
  <c r="D134" i="10" s="1"/>
  <c r="Y189" i="8"/>
  <c r="AD189" i="8" s="1"/>
  <c r="AB189" i="8"/>
  <c r="AC188" i="8" s="1"/>
  <c r="W190" i="8"/>
  <c r="Z190" i="8"/>
  <c r="Z191" i="8" s="1"/>
  <c r="AG177" i="8" s="1"/>
  <c r="AB190" i="8" l="1"/>
  <c r="X191" i="8"/>
  <c r="F183" i="8" s="1"/>
  <c r="F133" i="10" s="1"/>
  <c r="C41" i="3" s="1"/>
  <c r="AG173" i="8"/>
  <c r="AC190" i="8"/>
  <c r="Y190" i="8"/>
  <c r="W191" i="8"/>
  <c r="AA190" i="8"/>
  <c r="AA191" i="8" s="1"/>
  <c r="E182" i="8" s="1"/>
  <c r="E132" i="10" s="1"/>
  <c r="F182" i="8" l="1"/>
  <c r="F132" i="10" s="1"/>
  <c r="C40" i="3" s="1"/>
  <c r="AG179" i="8"/>
  <c r="AD190" i="8"/>
  <c r="AD191" i="8" s="1"/>
  <c r="AD192" i="8" s="1"/>
  <c r="Y191" i="8"/>
  <c r="AC189" i="8"/>
  <c r="AC167" i="8"/>
  <c r="AB191" i="8"/>
  <c r="E183" i="8" s="1"/>
  <c r="E133" i="10" s="1"/>
  <c r="E184" i="8" l="1"/>
  <c r="E134" i="10" s="1"/>
  <c r="C42" i="3" s="1"/>
  <c r="Y192" i="8"/>
  <c r="F184" i="8" s="1"/>
  <c r="F134" i="10" s="1"/>
  <c r="F196" i="8"/>
  <c r="E139" i="10" s="1"/>
  <c r="G205" i="8"/>
  <c r="G206" i="8"/>
  <c r="L199" i="8" l="1"/>
  <c r="L203" i="8"/>
  <c r="L207" i="8"/>
  <c r="L211" i="8"/>
  <c r="L215" i="8"/>
  <c r="L219" i="8"/>
  <c r="L200" i="8"/>
  <c r="L204" i="8"/>
  <c r="L208" i="8"/>
  <c r="L212" i="8"/>
  <c r="L216" i="8"/>
  <c r="L196" i="8"/>
  <c r="L197" i="8"/>
  <c r="L201" i="8"/>
  <c r="L205" i="8"/>
  <c r="L209" i="8"/>
  <c r="L213" i="8"/>
  <c r="L217" i="8"/>
  <c r="L198" i="8"/>
  <c r="L202" i="8"/>
  <c r="L206" i="8"/>
  <c r="L210" i="8"/>
  <c r="L214" i="8"/>
  <c r="L218" i="8"/>
  <c r="F203" i="8"/>
  <c r="D146" i="10" s="1"/>
  <c r="AG195" i="8"/>
  <c r="D150" i="10"/>
  <c r="O197" i="8" l="1"/>
  <c r="O198" i="8" s="1"/>
  <c r="N196" i="8"/>
  <c r="N197" i="8" s="1"/>
  <c r="N198" i="8" s="1"/>
  <c r="N199" i="8" s="1"/>
  <c r="Q196" i="8"/>
  <c r="R196" i="8" s="1"/>
  <c r="D207" i="8"/>
  <c r="AG196" i="8" s="1"/>
  <c r="AG199" i="8" s="1"/>
  <c r="C51" i="3"/>
  <c r="C50" i="3" s="1"/>
  <c r="P198" i="8" l="1"/>
  <c r="Q198" i="8"/>
  <c r="R198" i="8" s="1"/>
  <c r="O199" i="8"/>
  <c r="P197" i="8"/>
  <c r="Q197" i="8"/>
  <c r="R197" i="8" s="1"/>
  <c r="S203" i="8"/>
  <c r="S219" i="8"/>
  <c r="S212" i="8"/>
  <c r="S197" i="8"/>
  <c r="S213" i="8"/>
  <c r="S210" i="8"/>
  <c r="S207" i="8"/>
  <c r="S200" i="8"/>
  <c r="S216" i="8"/>
  <c r="S201" i="8"/>
  <c r="S217" i="8"/>
  <c r="S214" i="8"/>
  <c r="S211" i="8"/>
  <c r="S204" i="8"/>
  <c r="S196" i="8"/>
  <c r="X196" i="8" s="1"/>
  <c r="S205" i="8"/>
  <c r="S198" i="8"/>
  <c r="S218" i="8"/>
  <c r="S199" i="8"/>
  <c r="S215" i="8"/>
  <c r="S208" i="8"/>
  <c r="S202" i="8"/>
  <c r="S209" i="8"/>
  <c r="S206" i="8"/>
  <c r="V197" i="8" l="1"/>
  <c r="W197" i="8" s="1"/>
  <c r="X197" i="8"/>
  <c r="P199" i="8"/>
  <c r="Q199" i="8"/>
  <c r="R199" i="8" s="1"/>
  <c r="N200" i="8"/>
  <c r="O200" i="8"/>
  <c r="AB197" i="8"/>
  <c r="U196" i="8"/>
  <c r="U197" i="8" s="1"/>
  <c r="U198" i="8" s="1"/>
  <c r="V198" i="8"/>
  <c r="V199" i="8" s="1"/>
  <c r="X199" i="8" s="1"/>
  <c r="AA197" i="8"/>
  <c r="Z197" i="8" l="1"/>
  <c r="X198" i="8"/>
  <c r="P200" i="8"/>
  <c r="Q200" i="8"/>
  <c r="R200" i="8" s="1"/>
  <c r="N201" i="8"/>
  <c r="O201" i="8"/>
  <c r="Y197" i="8"/>
  <c r="AD197" i="8" s="1"/>
  <c r="Y199" i="8"/>
  <c r="W199" i="8"/>
  <c r="AA199" i="8" s="1"/>
  <c r="Z199" i="8"/>
  <c r="V200" i="8"/>
  <c r="X200" i="8" s="1"/>
  <c r="U199" i="8"/>
  <c r="U200" i="8" s="1"/>
  <c r="Y196" i="8"/>
  <c r="AD196" i="8" s="1"/>
  <c r="AB196" i="8"/>
  <c r="AB198" i="8"/>
  <c r="Z198" i="8"/>
  <c r="W198" i="8"/>
  <c r="AA198" i="8" s="1"/>
  <c r="P201" i="8" l="1"/>
  <c r="Q201" i="8"/>
  <c r="R201" i="8" s="1"/>
  <c r="N202" i="8"/>
  <c r="O202" i="8"/>
  <c r="U201" i="8"/>
  <c r="W200" i="8"/>
  <c r="AA200" i="8" s="1"/>
  <c r="V201" i="8"/>
  <c r="AB199" i="8"/>
  <c r="Z200" i="8"/>
  <c r="AC197" i="8"/>
  <c r="Y198" i="8"/>
  <c r="AD198" i="8" s="1"/>
  <c r="AC198" i="8"/>
  <c r="Y200" i="8"/>
  <c r="AD200" i="8" s="1"/>
  <c r="AB200" i="8"/>
  <c r="AC199" i="8" s="1"/>
  <c r="AD199" i="8"/>
  <c r="Z201" i="8" l="1"/>
  <c r="X201" i="8"/>
  <c r="AB201" i="8" s="1"/>
  <c r="AC200" i="8" s="1"/>
  <c r="Q202" i="8"/>
  <c r="R202" i="8" s="1"/>
  <c r="P202" i="8"/>
  <c r="N203" i="8"/>
  <c r="O203" i="8"/>
  <c r="V202" i="8"/>
  <c r="W201" i="8"/>
  <c r="AA201" i="8" s="1"/>
  <c r="U202" i="8"/>
  <c r="V203" i="8" l="1"/>
  <c r="X203" i="8" s="1"/>
  <c r="X202" i="8"/>
  <c r="Y202" i="8" s="1"/>
  <c r="U203" i="8"/>
  <c r="W202" i="8"/>
  <c r="AA202" i="8" s="1"/>
  <c r="P203" i="8"/>
  <c r="Q203" i="8"/>
  <c r="R203" i="8" s="1"/>
  <c r="N204" i="8"/>
  <c r="O204" i="8"/>
  <c r="Z202" i="8"/>
  <c r="Y201" i="8"/>
  <c r="AD201" i="8" s="1"/>
  <c r="AB203" i="8" l="1"/>
  <c r="Z203" i="8"/>
  <c r="W203" i="8"/>
  <c r="AA203" i="8" s="1"/>
  <c r="V204" i="8"/>
  <c r="X204" i="8" s="1"/>
  <c r="U204" i="8"/>
  <c r="Q204" i="8"/>
  <c r="R204" i="8" s="1"/>
  <c r="P204" i="8"/>
  <c r="O205" i="8"/>
  <c r="N205" i="8"/>
  <c r="AB202" i="8"/>
  <c r="AC201" i="8" s="1"/>
  <c r="AC202" i="8"/>
  <c r="W204" i="8"/>
  <c r="V205" i="8"/>
  <c r="X205" i="8" s="1"/>
  <c r="Y203" i="8"/>
  <c r="AD203" i="8" s="1"/>
  <c r="AD202" i="8"/>
  <c r="U205" i="8" l="1"/>
  <c r="U206" i="8" s="1"/>
  <c r="Z204" i="8"/>
  <c r="AB204" i="8"/>
  <c r="AC203" i="8" s="1"/>
  <c r="P205" i="8"/>
  <c r="Q205" i="8"/>
  <c r="R205" i="8" s="1"/>
  <c r="N206" i="8"/>
  <c r="O206" i="8"/>
  <c r="Y204" i="8"/>
  <c r="AD204" i="8" s="1"/>
  <c r="Z205" i="8"/>
  <c r="W205" i="8"/>
  <c r="V206" i="8"/>
  <c r="X206" i="8" s="1"/>
  <c r="AA204" i="8"/>
  <c r="AA205" i="8" l="1"/>
  <c r="P206" i="8"/>
  <c r="Q206" i="8"/>
  <c r="R206" i="8" s="1"/>
  <c r="N207" i="8"/>
  <c r="O207" i="8"/>
  <c r="Z206" i="8"/>
  <c r="W206" i="8"/>
  <c r="U207" i="8"/>
  <c r="V207" i="8"/>
  <c r="X207" i="8" s="1"/>
  <c r="Y205" i="8"/>
  <c r="AD205" i="8" s="1"/>
  <c r="AB205" i="8"/>
  <c r="AC204" i="8" s="1"/>
  <c r="P207" i="8" l="1"/>
  <c r="Q207" i="8"/>
  <c r="R207" i="8" s="1"/>
  <c r="O208" i="8"/>
  <c r="N208" i="8"/>
  <c r="AA206" i="8"/>
  <c r="Z207" i="8"/>
  <c r="W207" i="8"/>
  <c r="U208" i="8"/>
  <c r="V208" i="8"/>
  <c r="X208" i="8" s="1"/>
  <c r="Y206" i="8"/>
  <c r="AD206" i="8" s="1"/>
  <c r="AB206" i="8"/>
  <c r="AC205" i="8" s="1"/>
  <c r="Q208" i="8" l="1"/>
  <c r="R208" i="8" s="1"/>
  <c r="P208" i="8"/>
  <c r="N209" i="8"/>
  <c r="O209" i="8"/>
  <c r="AA207" i="8"/>
  <c r="Y207" i="8"/>
  <c r="AD207" i="8" s="1"/>
  <c r="AB207" i="8"/>
  <c r="AC206" i="8" s="1"/>
  <c r="W208" i="8"/>
  <c r="Z208" i="8"/>
  <c r="V209" i="8"/>
  <c r="X209" i="8" s="1"/>
  <c r="U209" i="8"/>
  <c r="AA208" i="8" l="1"/>
  <c r="Q209" i="8"/>
  <c r="R209" i="8" s="1"/>
  <c r="P209" i="8"/>
  <c r="N210" i="8"/>
  <c r="O210" i="8"/>
  <c r="Y208" i="8"/>
  <c r="AD208" i="8" s="1"/>
  <c r="AB208" i="8"/>
  <c r="AC207" i="8" s="1"/>
  <c r="W209" i="8"/>
  <c r="Z209" i="8"/>
  <c r="V210" i="8"/>
  <c r="X210" i="8" s="1"/>
  <c r="U210" i="8"/>
  <c r="AA209" i="8" l="1"/>
  <c r="Q210" i="8"/>
  <c r="R210" i="8" s="1"/>
  <c r="P210" i="8"/>
  <c r="N211" i="8"/>
  <c r="O211" i="8"/>
  <c r="Y209" i="8"/>
  <c r="AD209" i="8" s="1"/>
  <c r="AB209" i="8"/>
  <c r="AC208" i="8" s="1"/>
  <c r="W210" i="8"/>
  <c r="Z210" i="8"/>
  <c r="U211" i="8"/>
  <c r="V211" i="8"/>
  <c r="X211" i="8" s="1"/>
  <c r="AA210" i="8" l="1"/>
  <c r="P211" i="8"/>
  <c r="Q211" i="8"/>
  <c r="R211" i="8" s="1"/>
  <c r="N212" i="8"/>
  <c r="O212" i="8"/>
  <c r="W211" i="8"/>
  <c r="AA211" i="8" s="1"/>
  <c r="Z211" i="8"/>
  <c r="V212" i="8"/>
  <c r="X212" i="8" s="1"/>
  <c r="U212" i="8"/>
  <c r="Y210" i="8"/>
  <c r="AD210" i="8" s="1"/>
  <c r="AB210" i="8"/>
  <c r="AC209" i="8" s="1"/>
  <c r="Q212" i="8" l="1"/>
  <c r="R212" i="8" s="1"/>
  <c r="P212" i="8"/>
  <c r="N213" i="8"/>
  <c r="O213" i="8"/>
  <c r="AB211" i="8"/>
  <c r="AC210" i="8" s="1"/>
  <c r="Y211" i="8"/>
  <c r="AD211" i="8" s="1"/>
  <c r="W212" i="8"/>
  <c r="Z212" i="8"/>
  <c r="U213" i="8"/>
  <c r="V213" i="8"/>
  <c r="X213" i="8" s="1"/>
  <c r="AA212" i="8" l="1"/>
  <c r="AB212" i="8"/>
  <c r="AC211" i="8" s="1"/>
  <c r="P213" i="8"/>
  <c r="Q213" i="8"/>
  <c r="R213" i="8" s="1"/>
  <c r="N214" i="8"/>
  <c r="O214" i="8"/>
  <c r="Y212" i="8"/>
  <c r="AD212" i="8" s="1"/>
  <c r="W213" i="8"/>
  <c r="Z213" i="8"/>
  <c r="V214" i="8"/>
  <c r="X214" i="8" s="1"/>
  <c r="U214" i="8"/>
  <c r="AA213" i="8" l="1"/>
  <c r="AB213" i="8"/>
  <c r="AC212" i="8" s="1"/>
  <c r="Q214" i="8"/>
  <c r="R214" i="8" s="1"/>
  <c r="P214" i="8"/>
  <c r="N215" i="8"/>
  <c r="O215" i="8"/>
  <c r="W214" i="8"/>
  <c r="Z214" i="8"/>
  <c r="U215" i="8"/>
  <c r="V215" i="8"/>
  <c r="X215" i="8" s="1"/>
  <c r="Y213" i="8"/>
  <c r="AD213" i="8" s="1"/>
  <c r="AA214" i="8" l="1"/>
  <c r="P215" i="8"/>
  <c r="Q215" i="8"/>
  <c r="R215" i="8" s="1"/>
  <c r="O216" i="8"/>
  <c r="N216" i="8"/>
  <c r="Z215" i="8"/>
  <c r="W215" i="8"/>
  <c r="U216" i="8"/>
  <c r="V216" i="8"/>
  <c r="X216" i="8" s="1"/>
  <c r="Y214" i="8"/>
  <c r="AD214" i="8" s="1"/>
  <c r="AB214" i="8"/>
  <c r="AC213" i="8" s="1"/>
  <c r="AA215" i="8" l="1"/>
  <c r="P216" i="8"/>
  <c r="Q216" i="8"/>
  <c r="R216" i="8" s="1"/>
  <c r="O217" i="8"/>
  <c r="N217" i="8"/>
  <c r="W216" i="8"/>
  <c r="AA216" i="8" s="1"/>
  <c r="Z216" i="8"/>
  <c r="U217" i="8"/>
  <c r="V217" i="8"/>
  <c r="X217" i="8" s="1"/>
  <c r="Y215" i="8"/>
  <c r="AD215" i="8" s="1"/>
  <c r="AB215" i="8"/>
  <c r="AC214" i="8" s="1"/>
  <c r="AB216" i="8" l="1"/>
  <c r="AC215" i="8" s="1"/>
  <c r="P217" i="8"/>
  <c r="Q217" i="8"/>
  <c r="R217" i="8" s="1"/>
  <c r="N218" i="8"/>
  <c r="O218" i="8"/>
  <c r="Y216" i="8"/>
  <c r="AD216" i="8" s="1"/>
  <c r="W217" i="8"/>
  <c r="Z217" i="8"/>
  <c r="U218" i="8"/>
  <c r="V218" i="8"/>
  <c r="X218" i="8" s="1"/>
  <c r="AA217" i="8" l="1"/>
  <c r="Q218" i="8"/>
  <c r="R218" i="8" s="1"/>
  <c r="P218" i="8"/>
  <c r="O219" i="8"/>
  <c r="N219" i="8"/>
  <c r="Y217" i="8"/>
  <c r="AD217" i="8" s="1"/>
  <c r="AB217" i="8"/>
  <c r="AC216" i="8" s="1"/>
  <c r="W218" i="8"/>
  <c r="Z218" i="8"/>
  <c r="U219" i="8"/>
  <c r="V219" i="8"/>
  <c r="X219" i="8" s="1"/>
  <c r="P219" i="8" l="1"/>
  <c r="P220" i="8" s="1"/>
  <c r="D211" i="8" s="1"/>
  <c r="D154" i="10" s="1"/>
  <c r="Q219" i="8"/>
  <c r="Q220" i="8" s="1"/>
  <c r="D212" i="8" s="1"/>
  <c r="D155" i="10" s="1"/>
  <c r="AA218" i="8"/>
  <c r="Z219" i="8"/>
  <c r="Z220" i="8" s="1"/>
  <c r="AG206" i="8" s="1"/>
  <c r="W219" i="8"/>
  <c r="AG204" i="8"/>
  <c r="Y218" i="8"/>
  <c r="AD218" i="8" s="1"/>
  <c r="AB218" i="8"/>
  <c r="AC217" i="8" s="1"/>
  <c r="R219" i="8" l="1"/>
  <c r="R220" i="8" s="1"/>
  <c r="R221" i="8" s="1"/>
  <c r="D213" i="8" s="1"/>
  <c r="D156" i="10" s="1"/>
  <c r="AB219" i="8"/>
  <c r="AC219" i="8"/>
  <c r="X220" i="8"/>
  <c r="F212" i="8" s="1"/>
  <c r="F155" i="10" s="1"/>
  <c r="C48" i="3" s="1"/>
  <c r="AG202" i="8"/>
  <c r="AA219" i="8"/>
  <c r="AA220" i="8" s="1"/>
  <c r="E211" i="8" s="1"/>
  <c r="E154" i="10" s="1"/>
  <c r="W220" i="8"/>
  <c r="Y219" i="8"/>
  <c r="AC196" i="8" l="1"/>
  <c r="AB220" i="8"/>
  <c r="E212" i="8" s="1"/>
  <c r="E155" i="10" s="1"/>
  <c r="AC218" i="8"/>
  <c r="AD219" i="8"/>
  <c r="AD220" i="8" s="1"/>
  <c r="AD221" i="8" s="1"/>
  <c r="Y220" i="8"/>
  <c r="AG208" i="8"/>
  <c r="F211" i="8"/>
  <c r="F154" i="10" s="1"/>
  <c r="C47" i="3" s="1"/>
  <c r="E213" i="8" l="1"/>
  <c r="E156" i="10" s="1"/>
  <c r="C49" i="3" s="1"/>
  <c r="Y221" i="8"/>
  <c r="F213" i="8" s="1"/>
  <c r="F156" i="10" s="1"/>
</calcChain>
</file>

<file path=xl/comments1.xml><?xml version="1.0" encoding="utf-8"?>
<comments xmlns="http://schemas.openxmlformats.org/spreadsheetml/2006/main">
  <authors>
    <author>Raymond B. Shank</author>
  </authors>
  <commentList>
    <comment ref="I12" authorId="0">
      <text>
        <r>
          <rPr>
            <b/>
            <sz val="9"/>
            <color indexed="81"/>
            <rFont val="Tahoma"/>
            <family val="2"/>
          </rPr>
          <t>Raymond B. Shank:</t>
        </r>
        <r>
          <rPr>
            <sz val="9"/>
            <color indexed="81"/>
            <rFont val="Tahoma"/>
            <family val="2"/>
          </rPr>
          <t xml:space="preserve">
For Downgrades no adjustent is made to the Passenger Car Equivalents for Trucks.</t>
        </r>
      </text>
    </comment>
    <comment ref="K15" authorId="0">
      <text>
        <r>
          <rPr>
            <b/>
            <sz val="9"/>
            <color indexed="81"/>
            <rFont val="Tahoma"/>
            <family val="2"/>
          </rPr>
          <t>Raymond B. Shank:</t>
        </r>
        <r>
          <rPr>
            <sz val="9"/>
            <color indexed="81"/>
            <rFont val="Tahoma"/>
            <family val="2"/>
          </rPr>
          <t xml:space="preserve">
MoDOT's default value for Truck User Cost is $22.70.</t>
        </r>
      </text>
    </comment>
    <comment ref="K16" authorId="0">
      <text>
        <r>
          <rPr>
            <b/>
            <sz val="9"/>
            <color indexed="81"/>
            <rFont val="Tahoma"/>
            <family val="2"/>
          </rPr>
          <t>Raymond B. Shank:</t>
        </r>
        <r>
          <rPr>
            <sz val="9"/>
            <color indexed="81"/>
            <rFont val="Tahoma"/>
            <family val="2"/>
          </rPr>
          <t xml:space="preserve">
MoDOT's default value for Car User Cost is $10.30.</t>
        </r>
      </text>
    </comment>
  </commentList>
</comments>
</file>

<file path=xl/comments2.xml><?xml version="1.0" encoding="utf-8"?>
<comments xmlns="http://schemas.openxmlformats.org/spreadsheetml/2006/main">
  <authors>
    <author>Raymond B. Shank</author>
  </authors>
  <commentList>
    <comment ref="D29"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D51"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58"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59"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80"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87"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88"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09"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116"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17"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38"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145"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46"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67"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174"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75"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96"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Below are some typical capacities by facility type to use as a reference.  The district Traffic Office should be able to help determine an appropriate capacity for existing conditions.
</t>
        </r>
        <r>
          <rPr>
            <u/>
            <sz val="9"/>
            <color indexed="81"/>
            <rFont val="Tahoma"/>
            <family val="2"/>
          </rPr>
          <t>Capacity by Facility Type: Typical (Range)</t>
        </r>
        <r>
          <rPr>
            <sz val="9"/>
            <color indexed="81"/>
            <rFont val="Tahoma"/>
            <family val="2"/>
          </rPr>
          <t xml:space="preserve">
</t>
        </r>
        <r>
          <rPr>
            <i/>
            <sz val="9"/>
            <color indexed="81"/>
            <rFont val="Tahoma"/>
            <family val="2"/>
          </rPr>
          <t>Freeway</t>
        </r>
        <r>
          <rPr>
            <sz val="9"/>
            <color indexed="81"/>
            <rFont val="Tahoma"/>
            <family val="2"/>
          </rPr>
          <t xml:space="preserve">: 2000 pc/h/ln (1800 - 2400)
</t>
        </r>
        <r>
          <rPr>
            <i/>
            <sz val="9"/>
            <color indexed="81"/>
            <rFont val="Tahoma"/>
            <family val="2"/>
          </rPr>
          <t>Two Lane Highway</t>
        </r>
        <r>
          <rPr>
            <sz val="9"/>
            <color indexed="81"/>
            <rFont val="Tahoma"/>
            <family val="2"/>
          </rPr>
          <t xml:space="preserve">: 1750 pc/h/ln (1200 - 1900) </t>
        </r>
      </text>
    </comment>
    <comment ref="D203"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204"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List>
</comments>
</file>

<file path=xl/comments3.xml><?xml version="1.0" encoding="utf-8"?>
<comments xmlns="http://schemas.openxmlformats.org/spreadsheetml/2006/main">
  <authors>
    <author>Raymond B. Shank</author>
  </authors>
  <commentList>
    <comment ref="D7"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14"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5"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29"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36"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37"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51"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58"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59"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73"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80"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81"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95"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102"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03"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17"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124"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25"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 ref="D139" authorId="0">
      <text>
        <r>
          <rPr>
            <b/>
            <sz val="9"/>
            <color indexed="81"/>
            <rFont val="Tahoma"/>
            <family val="2"/>
          </rPr>
          <t>Raymond B. Shank:</t>
        </r>
        <r>
          <rPr>
            <sz val="9"/>
            <color indexed="81"/>
            <rFont val="Tahoma"/>
            <family val="2"/>
          </rPr>
          <t xml:space="preserve">
The Open Lane Capacity should be revised to match existing field conditions.  Use the Base Conditions Results for Queue Length and Delays to help estimate the capacity.  The district Traffic Office should be able to help determine an appropriate capacity for existing conditions.
</t>
        </r>
      </text>
    </comment>
    <comment ref="D146" authorId="0">
      <text>
        <r>
          <rPr>
            <b/>
            <sz val="9"/>
            <color indexed="81"/>
            <rFont val="Tahoma"/>
            <family val="2"/>
          </rPr>
          <t>Raymond B. Shank:</t>
        </r>
        <r>
          <rPr>
            <sz val="9"/>
            <color indexed="81"/>
            <rFont val="Tahoma"/>
            <family val="2"/>
          </rPr>
          <t xml:space="preserve">
(The capacity value is consistent with MoDOT's recommended value for the chosen lane configuration)</t>
        </r>
      </text>
    </comment>
    <comment ref="E147" authorId="0">
      <text>
        <r>
          <rPr>
            <b/>
            <sz val="9"/>
            <color indexed="81"/>
            <rFont val="Tahoma"/>
            <family val="2"/>
          </rPr>
          <t>Raymond B. Shank:</t>
        </r>
        <r>
          <rPr>
            <sz val="9"/>
            <color indexed="81"/>
            <rFont val="Tahoma"/>
            <family val="2"/>
          </rPr>
          <t xml:space="preserve">
This spreadsheet will use the ESTIMATED Work Zone Capacity unless the USER inputs a specific capacity for the Work Zone in this cell.  Leave this cell BLANK if you want the ESTIMATED Work Zone Capacity to be used.</t>
        </r>
      </text>
    </comment>
  </commentList>
</comments>
</file>

<file path=xl/sharedStrings.xml><?xml version="1.0" encoding="utf-8"?>
<sst xmlns="http://schemas.openxmlformats.org/spreadsheetml/2006/main" count="1933" uniqueCount="951">
  <si>
    <t>TOTAL NUMBER OF LANES</t>
  </si>
  <si>
    <t>TRUCK PERCENTAGE</t>
  </si>
  <si>
    <t>TIME</t>
  </si>
  <si>
    <t>AM</t>
  </si>
  <si>
    <t>PM</t>
  </si>
  <si>
    <t>DEMAND</t>
  </si>
  <si>
    <t>CAPACITY</t>
  </si>
  <si>
    <t>QUEUE LENGTH</t>
  </si>
  <si>
    <t>QUEUED VEHICLES</t>
  </si>
  <si>
    <t>TOTAL ARRIVALS</t>
  </si>
  <si>
    <t xml:space="preserve">TOTAL CAPACITY OF WORKZONE  </t>
  </si>
  <si>
    <t>TOTAL DEPARTURES</t>
  </si>
  <si>
    <t>Minutes</t>
  </si>
  <si>
    <t>VEH. LEN.</t>
  </si>
  <si>
    <t>CARS</t>
  </si>
  <si>
    <t>USER COST</t>
  </si>
  <si>
    <t xml:space="preserve">TRUCKS </t>
  </si>
  <si>
    <t>COST ($)</t>
  </si>
  <si>
    <t xml:space="preserve">count </t>
  </si>
  <si>
    <t>short</t>
  </si>
  <si>
    <t>MoDOT WORK ZONE IMPACT ANALYSIS SPREADSHEET</t>
  </si>
  <si>
    <t>Developed by University of Missouri - Columbia</t>
  </si>
  <si>
    <t>Highway Capacity Manual 2010 Program for the MoDOT's Work Zone Impact Analysis Spreadsheet</t>
  </si>
  <si>
    <t>Travel Lane Width (ft)</t>
  </si>
  <si>
    <t>Percent of Trucks*</t>
  </si>
  <si>
    <r>
      <t>E</t>
    </r>
    <r>
      <rPr>
        <vertAlign val="subscript"/>
        <sz val="11"/>
        <color indexed="8"/>
        <rFont val="Calibri"/>
        <family val="2"/>
      </rPr>
      <t>T</t>
    </r>
    <r>
      <rPr>
        <sz val="10"/>
        <rFont val="Arial"/>
      </rPr>
      <t xml:space="preserve"> - Equivalent Truck*</t>
    </r>
  </si>
  <si>
    <r>
      <t>Lane Width Factor      (f</t>
    </r>
    <r>
      <rPr>
        <vertAlign val="subscript"/>
        <sz val="11"/>
        <color indexed="8"/>
        <rFont val="Calibri"/>
        <family val="2"/>
      </rPr>
      <t>LW</t>
    </r>
    <r>
      <rPr>
        <sz val="10"/>
        <rFont val="Arial"/>
      </rPr>
      <t>)</t>
    </r>
  </si>
  <si>
    <t>Capacity (w/Trucks) veh/lane/hr</t>
  </si>
  <si>
    <t>&gt; 11.5</t>
  </si>
  <si>
    <t>10 - 11.5</t>
  </si>
  <si>
    <t xml:space="preserve">&lt;10 </t>
  </si>
  <si>
    <r>
      <t xml:space="preserve">Ramp                              </t>
    </r>
    <r>
      <rPr>
        <sz val="10"/>
        <color indexed="8"/>
        <rFont val="Calibri"/>
        <family val="2"/>
      </rPr>
      <t xml:space="preserve"> (used as bypass)</t>
    </r>
  </si>
  <si>
    <r>
      <t>* Percent of Trucks and E</t>
    </r>
    <r>
      <rPr>
        <vertAlign val="subscript"/>
        <sz val="11"/>
        <color indexed="8"/>
        <rFont val="Calibri"/>
        <family val="2"/>
      </rPr>
      <t>T</t>
    </r>
    <r>
      <rPr>
        <sz val="10"/>
        <rFont val="Arial"/>
      </rPr>
      <t xml:space="preserve"> - Equivalent Truck located in the below chart.</t>
    </r>
  </si>
  <si>
    <r>
      <t>Capacity of Work Before Trucks</t>
    </r>
    <r>
      <rPr>
        <sz val="11"/>
        <color indexed="8"/>
        <rFont val="Times New Roman"/>
        <family val="1"/>
      </rPr>
      <t xml:space="preserve"> = 1600 + I  (pc/h/ln)</t>
    </r>
  </si>
  <si>
    <r>
      <t xml:space="preserve">Intensity of Work </t>
    </r>
    <r>
      <rPr>
        <sz val="11"/>
        <color indexed="8"/>
        <rFont val="Times New Roman"/>
        <family val="1"/>
      </rPr>
      <t>= I;  I is the adjustment factor for type, intensity and proximity of work activity</t>
    </r>
  </si>
  <si>
    <t>I ranges between + or - 160 pc/h/ln based on professional judgement and local experience</t>
  </si>
  <si>
    <r>
      <t>E</t>
    </r>
    <r>
      <rPr>
        <b/>
        <vertAlign val="subscript"/>
        <sz val="11"/>
        <color indexed="8"/>
        <rFont val="Times New Roman"/>
        <family val="1"/>
      </rPr>
      <t>T</t>
    </r>
    <r>
      <rPr>
        <b/>
        <sz val="11"/>
        <color indexed="8"/>
        <rFont val="Times New Roman"/>
        <family val="1"/>
      </rPr>
      <t xml:space="preserve"> = </t>
    </r>
    <r>
      <rPr>
        <sz val="11"/>
        <color indexed="8"/>
        <rFont val="Times New Roman"/>
        <family val="1"/>
      </rPr>
      <t>passenger-car equivalent for truck (based on percent of trucks and climbing grade)</t>
    </r>
  </si>
  <si>
    <r>
      <t>Lane Width Facter (f</t>
    </r>
    <r>
      <rPr>
        <b/>
        <vertAlign val="subscript"/>
        <sz val="11"/>
        <color indexed="8"/>
        <rFont val="Times New Roman"/>
        <family val="1"/>
      </rPr>
      <t>LW</t>
    </r>
    <r>
      <rPr>
        <b/>
        <sz val="11"/>
        <color indexed="8"/>
        <rFont val="Times New Roman"/>
        <family val="1"/>
      </rPr>
      <t xml:space="preserve">) </t>
    </r>
    <r>
      <rPr>
        <sz val="11"/>
        <color indexed="8"/>
        <rFont val="Times New Roman"/>
        <family val="1"/>
      </rPr>
      <t>= Restricted lane widths will negatively affect capacity.</t>
    </r>
  </si>
  <si>
    <t>Passenger - Car Equivalents for Trucks on Upgrades</t>
  </si>
  <si>
    <t>Climbing Grade        (%)*</t>
  </si>
  <si>
    <t>Length (mi)</t>
  </si>
  <si>
    <r>
      <t>E</t>
    </r>
    <r>
      <rPr>
        <vertAlign val="subscript"/>
        <sz val="11"/>
        <color indexed="8"/>
        <rFont val="Calibri"/>
        <family val="2"/>
      </rPr>
      <t>T</t>
    </r>
    <r>
      <rPr>
        <sz val="10"/>
        <rFont val="Arial"/>
      </rPr>
      <t xml:space="preserve"> - Passenger - Car Equivalents for Trucks on Upgrades</t>
    </r>
    <r>
      <rPr>
        <vertAlign val="subscript"/>
        <sz val="11"/>
        <color indexed="8"/>
        <rFont val="Calibri"/>
        <family val="2"/>
      </rPr>
      <t xml:space="preserve"> </t>
    </r>
  </si>
  <si>
    <t>Percentage of Trucks</t>
  </si>
  <si>
    <t>&lt; 2</t>
  </si>
  <si>
    <t>&gt;2-3</t>
  </si>
  <si>
    <t>0 - 0.49</t>
  </si>
  <si>
    <t>0.50 - 1.00</t>
  </si>
  <si>
    <t>&gt;1.00</t>
  </si>
  <si>
    <t>&gt;3-4</t>
  </si>
  <si>
    <t>&gt;4-5</t>
  </si>
  <si>
    <t>&gt;5-6</t>
  </si>
  <si>
    <t>&gt;6</t>
  </si>
  <si>
    <t>*Climbing Grade can be located anywhere throughout the entire work zone project.</t>
  </si>
  <si>
    <t>Crossover on              Divided Highway</t>
  </si>
  <si>
    <t>Work Location</t>
  </si>
  <si>
    <t>Capacity of Work Zone Before Trucks (pc/h/ln)</t>
  </si>
  <si>
    <t>Workers &amp; equipment greater than 4-feet from travel lane</t>
  </si>
  <si>
    <t>MAX DELAY (minutes)</t>
  </si>
  <si>
    <t>AVE DELAY (minutes)</t>
  </si>
  <si>
    <t>MAX QUEUE LENGTH (miles)</t>
  </si>
  <si>
    <t>Start Time (24 hour clock)</t>
  </si>
  <si>
    <t>Duration of closure (hrs)</t>
  </si>
  <si>
    <t>Workers &amp; equipment less than 4 feet from travel lane</t>
  </si>
  <si>
    <t>Barrier located less than 2 feet from          travel lane</t>
  </si>
  <si>
    <t>Barrier located greater than 2 feet from travel lane</t>
  </si>
  <si>
    <t>EPG 616.13 Work Zone Capacity, Queue, and Travel Delay</t>
  </si>
  <si>
    <t>DISTRICTS:</t>
  </si>
  <si>
    <t>COUNTY:</t>
  </si>
  <si>
    <t>ROUTE:</t>
  </si>
  <si>
    <t>I</t>
  </si>
  <si>
    <t>US</t>
  </si>
  <si>
    <t>MO</t>
  </si>
  <si>
    <t>RT</t>
  </si>
  <si>
    <t>STATE SYSTEM CLASS</t>
  </si>
  <si>
    <t>ROADWAY TYPE</t>
  </si>
  <si>
    <t>Northwest</t>
  </si>
  <si>
    <t>Adair County</t>
  </si>
  <si>
    <t>Adair</t>
  </si>
  <si>
    <t>I-29 (MO).svgI-29</t>
  </si>
  <si>
    <t>I-29</t>
  </si>
  <si>
    <t>29</t>
  </si>
  <si>
    <t>24</t>
  </si>
  <si>
    <t>1</t>
  </si>
  <si>
    <t>INTERSTATE</t>
  </si>
  <si>
    <t>FREEWAY</t>
  </si>
  <si>
    <t>Northeast</t>
  </si>
  <si>
    <t>Andrew County</t>
  </si>
  <si>
    <t>Andrew</t>
  </si>
  <si>
    <t>I-35 (MO).svgI-35</t>
  </si>
  <si>
    <t>I-35</t>
  </si>
  <si>
    <t>35</t>
  </si>
  <si>
    <t>36</t>
  </si>
  <si>
    <t>2</t>
  </si>
  <si>
    <t>PRIMARY</t>
  </si>
  <si>
    <t>EXPRESSWAY</t>
  </si>
  <si>
    <t>Kansas City</t>
  </si>
  <si>
    <t>Atchison County</t>
  </si>
  <si>
    <t>Atchison</t>
  </si>
  <si>
    <t>I-44 (MO).svgI-44</t>
  </si>
  <si>
    <t>I-44</t>
  </si>
  <si>
    <t>44</t>
  </si>
  <si>
    <t>40</t>
  </si>
  <si>
    <t>3</t>
  </si>
  <si>
    <t>SUPPLEMENTARY</t>
  </si>
  <si>
    <t>MULTI-LANE</t>
  </si>
  <si>
    <t>Central</t>
  </si>
  <si>
    <t>Audrain County</t>
  </si>
  <si>
    <t>Audrain</t>
  </si>
  <si>
    <t>I-49 (MO).svgI-49</t>
  </si>
  <si>
    <t>I-49</t>
  </si>
  <si>
    <t>49</t>
  </si>
  <si>
    <t>50</t>
  </si>
  <si>
    <t>5</t>
  </si>
  <si>
    <t>NOT ON SYSTEM</t>
  </si>
  <si>
    <t>5 LANE SECTION</t>
  </si>
  <si>
    <t>Saint Louis</t>
  </si>
  <si>
    <t>Barry County</t>
  </si>
  <si>
    <t>Barry</t>
  </si>
  <si>
    <t>I-55 (MO).svgI-55</t>
  </si>
  <si>
    <t>I-55</t>
  </si>
  <si>
    <t>55</t>
  </si>
  <si>
    <t>54</t>
  </si>
  <si>
    <t>6</t>
  </si>
  <si>
    <t>UNKNOWN</t>
  </si>
  <si>
    <t>3 LANE SECTION</t>
  </si>
  <si>
    <t>Southwest</t>
  </si>
  <si>
    <t>Barton County</t>
  </si>
  <si>
    <t>Barton</t>
  </si>
  <si>
    <t>I-57 (MO).svgI-57</t>
  </si>
  <si>
    <t>I-57</t>
  </si>
  <si>
    <t>57</t>
  </si>
  <si>
    <t>56</t>
  </si>
  <si>
    <t>7</t>
  </si>
  <si>
    <t>N/A</t>
  </si>
  <si>
    <t>SUPER 2-LANE</t>
  </si>
  <si>
    <t>Southeast</t>
  </si>
  <si>
    <t>Bates County</t>
  </si>
  <si>
    <t>Bates</t>
  </si>
  <si>
    <t>I-64 (MO).svgI-64</t>
  </si>
  <si>
    <t>I-64</t>
  </si>
  <si>
    <t>64</t>
  </si>
  <si>
    <t>60</t>
  </si>
  <si>
    <t>8</t>
  </si>
  <si>
    <t>TWO-LANE</t>
  </si>
  <si>
    <t>Benton County</t>
  </si>
  <si>
    <t>Benton</t>
  </si>
  <si>
    <t>I-70 (MO).svgI-70</t>
  </si>
  <si>
    <t>I-70</t>
  </si>
  <si>
    <t>70</t>
  </si>
  <si>
    <t>62</t>
  </si>
  <si>
    <t>9</t>
  </si>
  <si>
    <t>ONE-WAY</t>
  </si>
  <si>
    <t>Bollinger County</t>
  </si>
  <si>
    <t>Bollinger</t>
  </si>
  <si>
    <t>I-72 (MO).svgI-72</t>
  </si>
  <si>
    <t>I-72</t>
  </si>
  <si>
    <t>72</t>
  </si>
  <si>
    <t>66</t>
  </si>
  <si>
    <t>10</t>
  </si>
  <si>
    <t>SHARED FOUR LANE</t>
  </si>
  <si>
    <t>Boone County</t>
  </si>
  <si>
    <t>Boone</t>
  </si>
  <si>
    <t>I-155 (MO).svgI-155</t>
  </si>
  <si>
    <t>I-155</t>
  </si>
  <si>
    <t>155</t>
  </si>
  <si>
    <t>136</t>
  </si>
  <si>
    <t>11</t>
  </si>
  <si>
    <t>RAMP</t>
  </si>
  <si>
    <t>Buchanan County</t>
  </si>
  <si>
    <t>Buchanan</t>
  </si>
  <si>
    <t>I-170 (MO).svgI-170</t>
  </si>
  <si>
    <t>I-170</t>
  </si>
  <si>
    <t>170</t>
  </si>
  <si>
    <t>160</t>
  </si>
  <si>
    <t>12</t>
  </si>
  <si>
    <t>Butler County</t>
  </si>
  <si>
    <t>Butler</t>
  </si>
  <si>
    <t>I-229 (MO).svgI-229</t>
  </si>
  <si>
    <t>I-229</t>
  </si>
  <si>
    <t>229</t>
  </si>
  <si>
    <t>166</t>
  </si>
  <si>
    <t>13</t>
  </si>
  <si>
    <t>Caldwell County</t>
  </si>
  <si>
    <t>Caldwell</t>
  </si>
  <si>
    <t>I-255 (MO).svgI-255</t>
  </si>
  <si>
    <t>I-255</t>
  </si>
  <si>
    <t>255</t>
  </si>
  <si>
    <t>400</t>
  </si>
  <si>
    <t>14</t>
  </si>
  <si>
    <t>Callaway County</t>
  </si>
  <si>
    <t>Callaway</t>
  </si>
  <si>
    <t>I-270 (MO).svgI-270</t>
  </si>
  <si>
    <t>I-270</t>
  </si>
  <si>
    <t>270</t>
  </si>
  <si>
    <t>412</t>
  </si>
  <si>
    <t>15</t>
  </si>
  <si>
    <t>Camden County</t>
  </si>
  <si>
    <t>Camden</t>
  </si>
  <si>
    <t>I-435 (MO).svgI-435</t>
  </si>
  <si>
    <t>I-435</t>
  </si>
  <si>
    <t>435</t>
  </si>
  <si>
    <t>460</t>
  </si>
  <si>
    <t>16</t>
  </si>
  <si>
    <t>Cape Girardeau County</t>
  </si>
  <si>
    <t>Cape Girardeau</t>
  </si>
  <si>
    <t>I-470 (MO).svgI-470</t>
  </si>
  <si>
    <t>I-470</t>
  </si>
  <si>
    <t>470</t>
  </si>
  <si>
    <t>59</t>
  </si>
  <si>
    <t>17</t>
  </si>
  <si>
    <t>Carroll County</t>
  </si>
  <si>
    <t>Carroll</t>
  </si>
  <si>
    <t>I-635 (MO).svgI-635</t>
  </si>
  <si>
    <t>I-635</t>
  </si>
  <si>
    <t>635</t>
  </si>
  <si>
    <t>61</t>
  </si>
  <si>
    <t>18</t>
  </si>
  <si>
    <t>Carter County</t>
  </si>
  <si>
    <t>Carter</t>
  </si>
  <si>
    <t>I-670 (MO).svgI-670</t>
  </si>
  <si>
    <t>I-670</t>
  </si>
  <si>
    <t>670</t>
  </si>
  <si>
    <t>63</t>
  </si>
  <si>
    <t>19</t>
  </si>
  <si>
    <t>Cass County</t>
  </si>
  <si>
    <t>Cass</t>
  </si>
  <si>
    <t>US 24.svgUS 24</t>
  </si>
  <si>
    <t>US 24</t>
  </si>
  <si>
    <t>65</t>
  </si>
  <si>
    <t>20</t>
  </si>
  <si>
    <t>Cedar County</t>
  </si>
  <si>
    <t>Cedar</t>
  </si>
  <si>
    <t>US 36.svgUS 36</t>
  </si>
  <si>
    <t>US 36</t>
  </si>
  <si>
    <t>67</t>
  </si>
  <si>
    <t>21</t>
  </si>
  <si>
    <t>Chariton County</t>
  </si>
  <si>
    <t>Chariton</t>
  </si>
  <si>
    <t>US 40.svgUS 40</t>
  </si>
  <si>
    <t>US 40</t>
  </si>
  <si>
    <t>69</t>
  </si>
  <si>
    <t>22</t>
  </si>
  <si>
    <t>Christian County</t>
  </si>
  <si>
    <t>Christian</t>
  </si>
  <si>
    <t>US 50.svgUS 50</t>
  </si>
  <si>
    <t>US 50</t>
  </si>
  <si>
    <t>71</t>
  </si>
  <si>
    <t>23</t>
  </si>
  <si>
    <t>Clark County</t>
  </si>
  <si>
    <t>Clark</t>
  </si>
  <si>
    <t>US 54.svgUS 54</t>
  </si>
  <si>
    <t>US 54</t>
  </si>
  <si>
    <t>159</t>
  </si>
  <si>
    <t>25</t>
  </si>
  <si>
    <t>Clay County</t>
  </si>
  <si>
    <t>Clay</t>
  </si>
  <si>
    <t>US 56.svgUS 56</t>
  </si>
  <si>
    <t>US 56</t>
  </si>
  <si>
    <t>169</t>
  </si>
  <si>
    <t>27</t>
  </si>
  <si>
    <t>Clinton County</t>
  </si>
  <si>
    <t>Clinton</t>
  </si>
  <si>
    <t>US 60.svgUS 60</t>
  </si>
  <si>
    <t>US 60</t>
  </si>
  <si>
    <t>275</t>
  </si>
  <si>
    <t>28</t>
  </si>
  <si>
    <t>Cole County</t>
  </si>
  <si>
    <t>Cole</t>
  </si>
  <si>
    <t>US 62.svgUS 62</t>
  </si>
  <si>
    <t>US 62</t>
  </si>
  <si>
    <t>30</t>
  </si>
  <si>
    <t>Cooper County</t>
  </si>
  <si>
    <t>Cooper</t>
  </si>
  <si>
    <t>US 66.svgUS 66</t>
  </si>
  <si>
    <t>US 66</t>
  </si>
  <si>
    <t>31</t>
  </si>
  <si>
    <t>Crawford County</t>
  </si>
  <si>
    <t>Crawford</t>
  </si>
  <si>
    <t>US 136.svgUS 136</t>
  </si>
  <si>
    <t>US 136</t>
  </si>
  <si>
    <t>32</t>
  </si>
  <si>
    <t>Dade County</t>
  </si>
  <si>
    <t>Dade</t>
  </si>
  <si>
    <t>US 160.svgUS 160</t>
  </si>
  <si>
    <t>US 160</t>
  </si>
  <si>
    <t>33</t>
  </si>
  <si>
    <t>Dallas County</t>
  </si>
  <si>
    <t>Dallas</t>
  </si>
  <si>
    <t>US 166.svgUS 166</t>
  </si>
  <si>
    <t>US 166</t>
  </si>
  <si>
    <t>34</t>
  </si>
  <si>
    <t>Daviess County</t>
  </si>
  <si>
    <t>Daviess</t>
  </si>
  <si>
    <t>US 400.svgUS 400</t>
  </si>
  <si>
    <t>US 400</t>
  </si>
  <si>
    <t>37</t>
  </si>
  <si>
    <t>DeKalb County</t>
  </si>
  <si>
    <t>DeKalb</t>
  </si>
  <si>
    <t>US 412.svgUS 412</t>
  </si>
  <si>
    <t>US 412</t>
  </si>
  <si>
    <t>38</t>
  </si>
  <si>
    <t>Dent County</t>
  </si>
  <si>
    <t>Dent</t>
  </si>
  <si>
    <t>US 460.svgUS 460</t>
  </si>
  <si>
    <t>US 460</t>
  </si>
  <si>
    <t>39</t>
  </si>
  <si>
    <t>Douglas County</t>
  </si>
  <si>
    <t>Douglas</t>
  </si>
  <si>
    <t>US 59.svgUS 59</t>
  </si>
  <si>
    <t>US 59</t>
  </si>
  <si>
    <t>41</t>
  </si>
  <si>
    <t>Dunklin County</t>
  </si>
  <si>
    <t>Dunklin</t>
  </si>
  <si>
    <t>US 61.svgUS 61</t>
  </si>
  <si>
    <t>US 61</t>
  </si>
  <si>
    <t>42</t>
  </si>
  <si>
    <t>Franklin County</t>
  </si>
  <si>
    <t>Franklin</t>
  </si>
  <si>
    <t>US 63.svgUS 63</t>
  </si>
  <si>
    <t>US 63</t>
  </si>
  <si>
    <t>43</t>
  </si>
  <si>
    <t>Gasconade County</t>
  </si>
  <si>
    <t>Gasconade</t>
  </si>
  <si>
    <t>US 65.svgUS 65</t>
  </si>
  <si>
    <t>US 65</t>
  </si>
  <si>
    <t>45</t>
  </si>
  <si>
    <t>Gentry County</t>
  </si>
  <si>
    <t>Gentry</t>
  </si>
  <si>
    <t>US 67.svgUS 67</t>
  </si>
  <si>
    <t>US 67</t>
  </si>
  <si>
    <t>46</t>
  </si>
  <si>
    <t>Greene County</t>
  </si>
  <si>
    <t>Greene</t>
  </si>
  <si>
    <t>US 69.svgUS 69</t>
  </si>
  <si>
    <t>US 69</t>
  </si>
  <si>
    <t>47</t>
  </si>
  <si>
    <t>Grundy County</t>
  </si>
  <si>
    <t>Grundy</t>
  </si>
  <si>
    <t>US 71.svgUS 71</t>
  </si>
  <si>
    <t>US 71</t>
  </si>
  <si>
    <t>48</t>
  </si>
  <si>
    <t>Harrison County</t>
  </si>
  <si>
    <t>Harrison</t>
  </si>
  <si>
    <t>US 159.svgUS 159</t>
  </si>
  <si>
    <t>US 159</t>
  </si>
  <si>
    <t>Henry County</t>
  </si>
  <si>
    <t>Henry</t>
  </si>
  <si>
    <t>US 169.svgUS 169</t>
  </si>
  <si>
    <t>US 169</t>
  </si>
  <si>
    <t>51</t>
  </si>
  <si>
    <t>Hickory County</t>
  </si>
  <si>
    <t>Hickory</t>
  </si>
  <si>
    <t>US 275.svgUS 275</t>
  </si>
  <si>
    <t>US 275</t>
  </si>
  <si>
    <t>52</t>
  </si>
  <si>
    <t>Holt County</t>
  </si>
  <si>
    <t>Holt</t>
  </si>
  <si>
    <t xml:space="preserve">MO </t>
  </si>
  <si>
    <t>MO 1</t>
  </si>
  <si>
    <t>53</t>
  </si>
  <si>
    <t>Howard County</t>
  </si>
  <si>
    <t>Howard</t>
  </si>
  <si>
    <t>MO 2</t>
  </si>
  <si>
    <t>58</t>
  </si>
  <si>
    <t>Howell County</t>
  </si>
  <si>
    <t>Howell</t>
  </si>
  <si>
    <t>MO 3</t>
  </si>
  <si>
    <t>Iron County</t>
  </si>
  <si>
    <t>Iron</t>
  </si>
  <si>
    <t>MO 5</t>
  </si>
  <si>
    <t>Jackson County</t>
  </si>
  <si>
    <t>Jackson</t>
  </si>
  <si>
    <t>MO 6</t>
  </si>
  <si>
    <t>Jasper County</t>
  </si>
  <si>
    <t>Jasper</t>
  </si>
  <si>
    <t>MO 7</t>
  </si>
  <si>
    <t>68</t>
  </si>
  <si>
    <t>Jefferson County</t>
  </si>
  <si>
    <t>Jefferson</t>
  </si>
  <si>
    <t>MO 8</t>
  </si>
  <si>
    <t>Johnson County</t>
  </si>
  <si>
    <t>Johnson</t>
  </si>
  <si>
    <t>MO 9</t>
  </si>
  <si>
    <t>73</t>
  </si>
  <si>
    <t>Knox County</t>
  </si>
  <si>
    <t>Knox</t>
  </si>
  <si>
    <t>MO 10</t>
  </si>
  <si>
    <t>74</t>
  </si>
  <si>
    <t>Laclede County</t>
  </si>
  <si>
    <t>Laclede</t>
  </si>
  <si>
    <t>MO 11</t>
  </si>
  <si>
    <t>75</t>
  </si>
  <si>
    <t>Lafayette County</t>
  </si>
  <si>
    <t>Lafayette</t>
  </si>
  <si>
    <t>MO 12</t>
  </si>
  <si>
    <t>76</t>
  </si>
  <si>
    <t>Lawrence County</t>
  </si>
  <si>
    <t>Lawrence</t>
  </si>
  <si>
    <t>MO 13</t>
  </si>
  <si>
    <t>77</t>
  </si>
  <si>
    <t>Lewis County</t>
  </si>
  <si>
    <t>Lewis</t>
  </si>
  <si>
    <t>MO 14</t>
  </si>
  <si>
    <t>78</t>
  </si>
  <si>
    <t>Lincoln County</t>
  </si>
  <si>
    <t>Lincoln</t>
  </si>
  <si>
    <t>MO 15</t>
  </si>
  <si>
    <t>79</t>
  </si>
  <si>
    <t>Linn County</t>
  </si>
  <si>
    <t>Linn</t>
  </si>
  <si>
    <t>MO 16</t>
  </si>
  <si>
    <t>80</t>
  </si>
  <si>
    <t>Livingston County</t>
  </si>
  <si>
    <t>Livingston</t>
  </si>
  <si>
    <t>MO 17</t>
  </si>
  <si>
    <t>81</t>
  </si>
  <si>
    <t>Macon County</t>
  </si>
  <si>
    <t>Macon</t>
  </si>
  <si>
    <t>MO 18</t>
  </si>
  <si>
    <t>82</t>
  </si>
  <si>
    <t>Madison County</t>
  </si>
  <si>
    <t>Madison</t>
  </si>
  <si>
    <t>MO 19</t>
  </si>
  <si>
    <t>83</t>
  </si>
  <si>
    <t>Maries County</t>
  </si>
  <si>
    <t>Maries</t>
  </si>
  <si>
    <t>MO 20</t>
  </si>
  <si>
    <t>84</t>
  </si>
  <si>
    <t>Marion County</t>
  </si>
  <si>
    <t>Marion</t>
  </si>
  <si>
    <t>MO 21</t>
  </si>
  <si>
    <t>85</t>
  </si>
  <si>
    <t>McDonald County</t>
  </si>
  <si>
    <t>McDonald</t>
  </si>
  <si>
    <t>MO 22</t>
  </si>
  <si>
    <t>86</t>
  </si>
  <si>
    <t>Mercer County</t>
  </si>
  <si>
    <t>Mercer</t>
  </si>
  <si>
    <t>MO 23</t>
  </si>
  <si>
    <t>87</t>
  </si>
  <si>
    <t>Miller County</t>
  </si>
  <si>
    <t>Miller</t>
  </si>
  <si>
    <t>MO 25</t>
  </si>
  <si>
    <t>89</t>
  </si>
  <si>
    <t>Mississippi County</t>
  </si>
  <si>
    <t>Mississippi</t>
  </si>
  <si>
    <t>MO 27</t>
  </si>
  <si>
    <t>90</t>
  </si>
  <si>
    <t>Moniteau County</t>
  </si>
  <si>
    <t>Moniteau</t>
  </si>
  <si>
    <t>MO 28</t>
  </si>
  <si>
    <t>91</t>
  </si>
  <si>
    <t>Monroe County</t>
  </si>
  <si>
    <t>Monroe</t>
  </si>
  <si>
    <t>MO 30</t>
  </si>
  <si>
    <t>92</t>
  </si>
  <si>
    <t>Montgomery County</t>
  </si>
  <si>
    <t>Montgomery</t>
  </si>
  <si>
    <t>MO 31</t>
  </si>
  <si>
    <t>94</t>
  </si>
  <si>
    <t>Morgan County</t>
  </si>
  <si>
    <t>Morgan</t>
  </si>
  <si>
    <t>MO 32</t>
  </si>
  <si>
    <t>95</t>
  </si>
  <si>
    <t>New Madrid County</t>
  </si>
  <si>
    <t>New Madrid</t>
  </si>
  <si>
    <t>MO 33</t>
  </si>
  <si>
    <t>96</t>
  </si>
  <si>
    <t>Newton County</t>
  </si>
  <si>
    <t>Newton</t>
  </si>
  <si>
    <t>MO 34</t>
  </si>
  <si>
    <t>97</t>
  </si>
  <si>
    <t>Nodaway County</t>
  </si>
  <si>
    <t>Nodaway</t>
  </si>
  <si>
    <t>MO 37</t>
  </si>
  <si>
    <t>98</t>
  </si>
  <si>
    <t>Oregon County</t>
  </si>
  <si>
    <t>Oregon</t>
  </si>
  <si>
    <t>MO 38</t>
  </si>
  <si>
    <t>99</t>
  </si>
  <si>
    <t>Osage County</t>
  </si>
  <si>
    <t>Osage</t>
  </si>
  <si>
    <t>MO 39</t>
  </si>
  <si>
    <t>100</t>
  </si>
  <si>
    <t>Ozark County</t>
  </si>
  <si>
    <t>Ozark</t>
  </si>
  <si>
    <t>MO 41</t>
  </si>
  <si>
    <t>101</t>
  </si>
  <si>
    <t>Pemiscot County</t>
  </si>
  <si>
    <t>Pemiscot</t>
  </si>
  <si>
    <t>MO 42</t>
  </si>
  <si>
    <t>102</t>
  </si>
  <si>
    <t>Perry County</t>
  </si>
  <si>
    <t>Perry</t>
  </si>
  <si>
    <t>MO 43</t>
  </si>
  <si>
    <t>103</t>
  </si>
  <si>
    <t>Pettis County</t>
  </si>
  <si>
    <t>Pettis</t>
  </si>
  <si>
    <t>MO 45</t>
  </si>
  <si>
    <t>104</t>
  </si>
  <si>
    <t>Phelps County</t>
  </si>
  <si>
    <t>Phelps</t>
  </si>
  <si>
    <t>MO 46</t>
  </si>
  <si>
    <t>105</t>
  </si>
  <si>
    <t>Pike County</t>
  </si>
  <si>
    <t>Pike</t>
  </si>
  <si>
    <t>MO 47</t>
  </si>
  <si>
    <t>106</t>
  </si>
  <si>
    <t>Platte County</t>
  </si>
  <si>
    <t>Platte</t>
  </si>
  <si>
    <t>MO 48</t>
  </si>
  <si>
    <t>107</t>
  </si>
  <si>
    <t>Polk County</t>
  </si>
  <si>
    <t>Polk</t>
  </si>
  <si>
    <t>MO 49</t>
  </si>
  <si>
    <t>108</t>
  </si>
  <si>
    <t>Pulaski County</t>
  </si>
  <si>
    <t>Pulaski</t>
  </si>
  <si>
    <t>MO 51</t>
  </si>
  <si>
    <t>109</t>
  </si>
  <si>
    <t>Putnam County</t>
  </si>
  <si>
    <t>Putnam</t>
  </si>
  <si>
    <t>MO 52</t>
  </si>
  <si>
    <t>110</t>
  </si>
  <si>
    <t>Ralls County</t>
  </si>
  <si>
    <t>Ralls</t>
  </si>
  <si>
    <t>MO 53</t>
  </si>
  <si>
    <t>111</t>
  </si>
  <si>
    <t>Randolph County</t>
  </si>
  <si>
    <t>Randolph</t>
  </si>
  <si>
    <t>MO 58</t>
  </si>
  <si>
    <t>112</t>
  </si>
  <si>
    <t>Ray County</t>
  </si>
  <si>
    <t>Ray</t>
  </si>
  <si>
    <t>MO 59</t>
  </si>
  <si>
    <t>113</t>
  </si>
  <si>
    <t>Reynolds County</t>
  </si>
  <si>
    <t>Reynolds</t>
  </si>
  <si>
    <t>MO 64</t>
  </si>
  <si>
    <t>114</t>
  </si>
  <si>
    <t>Ripley County</t>
  </si>
  <si>
    <t>Ripley</t>
  </si>
  <si>
    <t>MO 66</t>
  </si>
  <si>
    <t>115</t>
  </si>
  <si>
    <t>Saint Charles County</t>
  </si>
  <si>
    <t>Saint Charles</t>
  </si>
  <si>
    <t>MO 68</t>
  </si>
  <si>
    <t>116</t>
  </si>
  <si>
    <t>Saint Clair County</t>
  </si>
  <si>
    <t>Saint Clair</t>
  </si>
  <si>
    <t>MO 72</t>
  </si>
  <si>
    <t>117</t>
  </si>
  <si>
    <t>Saint Francois County</t>
  </si>
  <si>
    <t>Saint Francois</t>
  </si>
  <si>
    <t>MO 73</t>
  </si>
  <si>
    <t>118</t>
  </si>
  <si>
    <t>Saint Louis County</t>
  </si>
  <si>
    <t>MO 74</t>
  </si>
  <si>
    <t>119</t>
  </si>
  <si>
    <t>Saint Louis City</t>
  </si>
  <si>
    <t>MO 75</t>
  </si>
  <si>
    <t>120</t>
  </si>
  <si>
    <t>Ste. Genevieve County</t>
  </si>
  <si>
    <t>Ste. Genevieve</t>
  </si>
  <si>
    <t>MO 76</t>
  </si>
  <si>
    <t>121</t>
  </si>
  <si>
    <t>Saline County</t>
  </si>
  <si>
    <t>Saline</t>
  </si>
  <si>
    <t>MO 77</t>
  </si>
  <si>
    <t>122</t>
  </si>
  <si>
    <t>Schuyler County</t>
  </si>
  <si>
    <t>Schuyler</t>
  </si>
  <si>
    <t>MO 78</t>
  </si>
  <si>
    <t>123</t>
  </si>
  <si>
    <t>Scotland County</t>
  </si>
  <si>
    <t>Scotland</t>
  </si>
  <si>
    <t>MO 79</t>
  </si>
  <si>
    <t>124</t>
  </si>
  <si>
    <t>Scott County</t>
  </si>
  <si>
    <t>Scott</t>
  </si>
  <si>
    <t>MO 80</t>
  </si>
  <si>
    <t>125</t>
  </si>
  <si>
    <t>Shannon County</t>
  </si>
  <si>
    <t>Shannon</t>
  </si>
  <si>
    <t>MO 81</t>
  </si>
  <si>
    <t>126</t>
  </si>
  <si>
    <t>Shelby County</t>
  </si>
  <si>
    <t>Shelby</t>
  </si>
  <si>
    <t>MO 82</t>
  </si>
  <si>
    <t>127</t>
  </si>
  <si>
    <t>Stoddard County</t>
  </si>
  <si>
    <t>Stoddard</t>
  </si>
  <si>
    <t>MO 83</t>
  </si>
  <si>
    <t>128</t>
  </si>
  <si>
    <t>Stone County</t>
  </si>
  <si>
    <t>Stone</t>
  </si>
  <si>
    <t>MO 84</t>
  </si>
  <si>
    <t>129</t>
  </si>
  <si>
    <t>Sullivan County</t>
  </si>
  <si>
    <t>Sullivan</t>
  </si>
  <si>
    <t>MO 85</t>
  </si>
  <si>
    <t>130</t>
  </si>
  <si>
    <t>Taney County</t>
  </si>
  <si>
    <t>Taney</t>
  </si>
  <si>
    <t>MO 86</t>
  </si>
  <si>
    <t>131</t>
  </si>
  <si>
    <t>Texas County</t>
  </si>
  <si>
    <t>Texas</t>
  </si>
  <si>
    <t>MO 87</t>
  </si>
  <si>
    <t>133</t>
  </si>
  <si>
    <t>Vernon County</t>
  </si>
  <si>
    <t>Vernon</t>
  </si>
  <si>
    <t>MO 89</t>
  </si>
  <si>
    <t>134</t>
  </si>
  <si>
    <t>Warren County</t>
  </si>
  <si>
    <t>Warren</t>
  </si>
  <si>
    <t>MO 90</t>
  </si>
  <si>
    <t>135</t>
  </si>
  <si>
    <t>Washington County</t>
  </si>
  <si>
    <t>Washington</t>
  </si>
  <si>
    <t>MO 91</t>
  </si>
  <si>
    <t>137</t>
  </si>
  <si>
    <t>Wayne County</t>
  </si>
  <si>
    <t>Wayne</t>
  </si>
  <si>
    <t>MO 92</t>
  </si>
  <si>
    <t>138</t>
  </si>
  <si>
    <t>Webster County</t>
  </si>
  <si>
    <t>Webster</t>
  </si>
  <si>
    <t>MO 94</t>
  </si>
  <si>
    <t>139</t>
  </si>
  <si>
    <t>Worth County</t>
  </si>
  <si>
    <t>Worth</t>
  </si>
  <si>
    <t>MO 95</t>
  </si>
  <si>
    <t>141</t>
  </si>
  <si>
    <t>Wright County</t>
  </si>
  <si>
    <t>Wright</t>
  </si>
  <si>
    <t>MO 96</t>
  </si>
  <si>
    <t>142</t>
  </si>
  <si>
    <t>MO 97</t>
  </si>
  <si>
    <t>143</t>
  </si>
  <si>
    <t>MO 98</t>
  </si>
  <si>
    <t>144</t>
  </si>
  <si>
    <t>MO 99</t>
  </si>
  <si>
    <t>145</t>
  </si>
  <si>
    <t>MO 100</t>
  </si>
  <si>
    <t>146</t>
  </si>
  <si>
    <t>MO 101</t>
  </si>
  <si>
    <t>147</t>
  </si>
  <si>
    <t>MO 102</t>
  </si>
  <si>
    <t>148</t>
  </si>
  <si>
    <t>MO 103</t>
  </si>
  <si>
    <t>149</t>
  </si>
  <si>
    <t>MO 104</t>
  </si>
  <si>
    <t>150</t>
  </si>
  <si>
    <t>MO 105</t>
  </si>
  <si>
    <t>151</t>
  </si>
  <si>
    <t>MO 106</t>
  </si>
  <si>
    <t>152</t>
  </si>
  <si>
    <t>MO 107</t>
  </si>
  <si>
    <t>153</t>
  </si>
  <si>
    <t>MO 108</t>
  </si>
  <si>
    <t>154</t>
  </si>
  <si>
    <t>MO 109</t>
  </si>
  <si>
    <t>156</t>
  </si>
  <si>
    <t>MO 110</t>
  </si>
  <si>
    <t>157</t>
  </si>
  <si>
    <t>MO 111</t>
  </si>
  <si>
    <t>158</t>
  </si>
  <si>
    <t>MO 112</t>
  </si>
  <si>
    <t>161</t>
  </si>
  <si>
    <t>MO 113</t>
  </si>
  <si>
    <t>162</t>
  </si>
  <si>
    <t>MO 114</t>
  </si>
  <si>
    <t>163</t>
  </si>
  <si>
    <t>MO 115</t>
  </si>
  <si>
    <t>164</t>
  </si>
  <si>
    <t>MO 116</t>
  </si>
  <si>
    <t>165</t>
  </si>
  <si>
    <t>MO 117</t>
  </si>
  <si>
    <t>168</t>
  </si>
  <si>
    <t>MO 118</t>
  </si>
  <si>
    <t>171</t>
  </si>
  <si>
    <t>MO 119</t>
  </si>
  <si>
    <t>172</t>
  </si>
  <si>
    <t>MO 120</t>
  </si>
  <si>
    <t>173</t>
  </si>
  <si>
    <t>MO 121</t>
  </si>
  <si>
    <t>174</t>
  </si>
  <si>
    <t>MO 122</t>
  </si>
  <si>
    <t>175</t>
  </si>
  <si>
    <t>MO 123</t>
  </si>
  <si>
    <t>176</t>
  </si>
  <si>
    <t>MO 124</t>
  </si>
  <si>
    <t>177</t>
  </si>
  <si>
    <t>MO 125</t>
  </si>
  <si>
    <t>179</t>
  </si>
  <si>
    <t>MO 126</t>
  </si>
  <si>
    <t>180</t>
  </si>
  <si>
    <t>MO 127</t>
  </si>
  <si>
    <t>181</t>
  </si>
  <si>
    <t>MO 128</t>
  </si>
  <si>
    <t>185</t>
  </si>
  <si>
    <t>MO 129</t>
  </si>
  <si>
    <t>187</t>
  </si>
  <si>
    <t>MO 130</t>
  </si>
  <si>
    <t>190</t>
  </si>
  <si>
    <t>MO 131</t>
  </si>
  <si>
    <t>202</t>
  </si>
  <si>
    <t>MO 133</t>
  </si>
  <si>
    <t>210</t>
  </si>
  <si>
    <t>MO 134</t>
  </si>
  <si>
    <t>213</t>
  </si>
  <si>
    <t>MO 135</t>
  </si>
  <si>
    <t>215</t>
  </si>
  <si>
    <t>MO 137</t>
  </si>
  <si>
    <t>221</t>
  </si>
  <si>
    <t>MO 138</t>
  </si>
  <si>
    <t>224</t>
  </si>
  <si>
    <t>MO 139</t>
  </si>
  <si>
    <t>231</t>
  </si>
  <si>
    <t>MO 141</t>
  </si>
  <si>
    <t>240</t>
  </si>
  <si>
    <t>MO 142</t>
  </si>
  <si>
    <t>242</t>
  </si>
  <si>
    <t>MO 143</t>
  </si>
  <si>
    <t>245</t>
  </si>
  <si>
    <t>MO 144</t>
  </si>
  <si>
    <t>246</t>
  </si>
  <si>
    <t>MO 145</t>
  </si>
  <si>
    <t>248</t>
  </si>
  <si>
    <t>MO 146</t>
  </si>
  <si>
    <t>249</t>
  </si>
  <si>
    <t>MO 147</t>
  </si>
  <si>
    <t>254</t>
  </si>
  <si>
    <t>MO 148</t>
  </si>
  <si>
    <t>265</t>
  </si>
  <si>
    <t>MO 149</t>
  </si>
  <si>
    <t>266</t>
  </si>
  <si>
    <t>MO 150</t>
  </si>
  <si>
    <t>267</t>
  </si>
  <si>
    <t>MO 151</t>
  </si>
  <si>
    <t>269</t>
  </si>
  <si>
    <t>MO 152</t>
  </si>
  <si>
    <t>273</t>
  </si>
  <si>
    <t>MO 153</t>
  </si>
  <si>
    <t>283</t>
  </si>
  <si>
    <t>MO 154</t>
  </si>
  <si>
    <t>291</t>
  </si>
  <si>
    <t>MO 156</t>
  </si>
  <si>
    <t>340</t>
  </si>
  <si>
    <t>MO 157</t>
  </si>
  <si>
    <t>350</t>
  </si>
  <si>
    <t>MO 158</t>
  </si>
  <si>
    <t>360</t>
  </si>
  <si>
    <t>MO 161</t>
  </si>
  <si>
    <t>364</t>
  </si>
  <si>
    <t>MO 162</t>
  </si>
  <si>
    <t>366</t>
  </si>
  <si>
    <t>MO 163</t>
  </si>
  <si>
    <t>367</t>
  </si>
  <si>
    <t>MO 164</t>
  </si>
  <si>
    <t>370</t>
  </si>
  <si>
    <t>MO 165</t>
  </si>
  <si>
    <t>371</t>
  </si>
  <si>
    <t>MO 168</t>
  </si>
  <si>
    <t>376</t>
  </si>
  <si>
    <t>MO 171</t>
  </si>
  <si>
    <t>413</t>
  </si>
  <si>
    <t>MO 172</t>
  </si>
  <si>
    <t>465</t>
  </si>
  <si>
    <t>MO 173</t>
  </si>
  <si>
    <t>571</t>
  </si>
  <si>
    <t>MO 174</t>
  </si>
  <si>
    <t>740</t>
  </si>
  <si>
    <t>MO 175</t>
  </si>
  <si>
    <t>744</t>
  </si>
  <si>
    <t>MO 176</t>
  </si>
  <si>
    <t>752</t>
  </si>
  <si>
    <t>MO 177</t>
  </si>
  <si>
    <t>759</t>
  </si>
  <si>
    <t>MO 179</t>
  </si>
  <si>
    <t>763</t>
  </si>
  <si>
    <t>MO 180</t>
  </si>
  <si>
    <t>765</t>
  </si>
  <si>
    <t>MO 181</t>
  </si>
  <si>
    <t>799</t>
  </si>
  <si>
    <t>MO 185</t>
  </si>
  <si>
    <t>MO 187</t>
  </si>
  <si>
    <t>MO 190</t>
  </si>
  <si>
    <t>MO 202</t>
  </si>
  <si>
    <t>MO 210</t>
  </si>
  <si>
    <t>MO 213</t>
  </si>
  <si>
    <t>MO 215</t>
  </si>
  <si>
    <t>MO 221</t>
  </si>
  <si>
    <t>MO 224</t>
  </si>
  <si>
    <t>MO 231</t>
  </si>
  <si>
    <t>MO 240</t>
  </si>
  <si>
    <t>MO 242</t>
  </si>
  <si>
    <t>MO 245</t>
  </si>
  <si>
    <t>MO 246</t>
  </si>
  <si>
    <t>MO 248</t>
  </si>
  <si>
    <t>MO 249</t>
  </si>
  <si>
    <t>MO 254</t>
  </si>
  <si>
    <t>MO 265</t>
  </si>
  <si>
    <t>MO 266</t>
  </si>
  <si>
    <t>MO 267</t>
  </si>
  <si>
    <t>MO 269</t>
  </si>
  <si>
    <t>MO 273</t>
  </si>
  <si>
    <t>MO 283</t>
  </si>
  <si>
    <t>MO 291</t>
  </si>
  <si>
    <t>MO 340</t>
  </si>
  <si>
    <t>MO 350</t>
  </si>
  <si>
    <t>MO 360</t>
  </si>
  <si>
    <t>MO 364</t>
  </si>
  <si>
    <t>MO 366</t>
  </si>
  <si>
    <t>MO 367</t>
  </si>
  <si>
    <t>MO 370</t>
  </si>
  <si>
    <t>MO 371</t>
  </si>
  <si>
    <t>MO 376</t>
  </si>
  <si>
    <t>MO 413</t>
  </si>
  <si>
    <t>MO 465</t>
  </si>
  <si>
    <t>MO 571</t>
  </si>
  <si>
    <t>MO 740</t>
  </si>
  <si>
    <t>MO 744</t>
  </si>
  <si>
    <t>MO 752</t>
  </si>
  <si>
    <t>MO 759</t>
  </si>
  <si>
    <t>MO 763</t>
  </si>
  <si>
    <t>MO 765</t>
  </si>
  <si>
    <t>MO 799</t>
  </si>
  <si>
    <t>Direct any questions regarding this spreadsheet to:</t>
  </si>
  <si>
    <t>Dan Smith</t>
  </si>
  <si>
    <t>(573) 526-4329</t>
  </si>
  <si>
    <t>Daniel.Smith@modot.mo.gov</t>
  </si>
  <si>
    <t>or</t>
  </si>
  <si>
    <t>Ray Shank</t>
  </si>
  <si>
    <t>(573) 526-4293</t>
  </si>
  <si>
    <t>Raymond.Shank@modot.mo.gov</t>
  </si>
  <si>
    <t>DISTRICT:</t>
  </si>
  <si>
    <t>JOB NUMBER:</t>
  </si>
  <si>
    <t>BACKGROUND INFORMATION</t>
  </si>
  <si>
    <t>EXISTING ROADWAY DATA</t>
  </si>
  <si>
    <t>WORKZONE DETAILS</t>
  </si>
  <si>
    <t>Barrier located less than 2 feet from travel lane</t>
  </si>
  <si>
    <t>Ramp (used as bypass)</t>
  </si>
  <si>
    <t>Crossover on Divided Highway</t>
  </si>
  <si>
    <t>Climbing Grade (%)*</t>
  </si>
  <si>
    <t>DEMAND (veh/hr)</t>
  </si>
  <si>
    <t>Time of Day</t>
  </si>
  <si>
    <t>Day of Week</t>
  </si>
  <si>
    <t>12:00 MIDNIGHT - 1 AM</t>
  </si>
  <si>
    <t>1:00 - 2:00 AM</t>
  </si>
  <si>
    <t>2:00 - 3:00 AM</t>
  </si>
  <si>
    <t>3:00 - 4:00 AM</t>
  </si>
  <si>
    <t>4:00 - 5:00 AM</t>
  </si>
  <si>
    <t>5:00 - 6:00 AM</t>
  </si>
  <si>
    <t>6:00 - 7:00 AM</t>
  </si>
  <si>
    <t>7:00 - 8:00 AM</t>
  </si>
  <si>
    <t>8:00 - 9:00 AM</t>
  </si>
  <si>
    <t>9:00 - 10:00 AM</t>
  </si>
  <si>
    <t>10:00 - 11:00 AM</t>
  </si>
  <si>
    <t>11:00 - 12:00 NOON</t>
  </si>
  <si>
    <t>12 NOON - 1:00 PM</t>
  </si>
  <si>
    <t>1:00 - 2:00 PM</t>
  </si>
  <si>
    <t>2:00 - 3:00 PM</t>
  </si>
  <si>
    <t>3:00 - 4:00 PM</t>
  </si>
  <si>
    <t>4:00 - 5:00 PM</t>
  </si>
  <si>
    <t>5:00 - 6:00 PM</t>
  </si>
  <si>
    <t>6:00 - 7:00 PM</t>
  </si>
  <si>
    <t>7:00 - 8:00 PM</t>
  </si>
  <si>
    <t>8:00 - 9:00 PM</t>
  </si>
  <si>
    <t>9:00 - 10:00 PM</t>
  </si>
  <si>
    <t>10:00 - 11:00 PM</t>
  </si>
  <si>
    <t>11 PM - 12:00 MIDNIGHT</t>
  </si>
  <si>
    <t>TOTAL ADT</t>
  </si>
  <si>
    <t>Date of Count</t>
  </si>
  <si>
    <t>Base Capacity</t>
  </si>
  <si>
    <t>Start Time</t>
  </si>
  <si>
    <t>Base Arrivals</t>
  </si>
  <si>
    <t>Base Departures</t>
  </si>
  <si>
    <t>Base Queued Vehicles</t>
  </si>
  <si>
    <t>Base Delay</t>
  </si>
  <si>
    <t>WZ QUEUED VEHICLES</t>
  </si>
  <si>
    <t>Base User Cost</t>
  </si>
  <si>
    <t>User cost</t>
  </si>
  <si>
    <t>WZ User Cost</t>
  </si>
  <si>
    <t>WORK ZONE IMPACT ANALYSIS SPREADSHEET</t>
  </si>
  <si>
    <t>No Work Zone (Use for Calibrating Existing Conditions)</t>
  </si>
  <si>
    <t>User Defined Work Zone Capacitry</t>
  </si>
  <si>
    <t>DAILY TRUCK</t>
  </si>
  <si>
    <t>LANES:</t>
  </si>
  <si>
    <t>NUMBER OF</t>
  </si>
  <si>
    <t>CLIMBING</t>
  </si>
  <si>
    <t>GRADE (%):</t>
  </si>
  <si>
    <t>PERCENTAGE (%):</t>
  </si>
  <si>
    <t>LENGTH OF</t>
  </si>
  <si>
    <t>Base Conditions</t>
  </si>
  <si>
    <t>RESULTS</t>
  </si>
  <si>
    <t>Total</t>
  </si>
  <si>
    <t>Work Zone</t>
  </si>
  <si>
    <t>Measure of Effectiveness</t>
  </si>
  <si>
    <t>Start Time:</t>
  </si>
  <si>
    <t>End Time:</t>
  </si>
  <si>
    <t>Duration of closure (hrs):</t>
  </si>
  <si>
    <t>Max Queue Length (mi):</t>
  </si>
  <si>
    <t>Max Delay (minutes):</t>
  </si>
  <si>
    <t>Cost ($):</t>
  </si>
  <si>
    <t>BASE CONDITIONS</t>
  </si>
  <si>
    <t xml:space="preserve">              WORK ZONE IMPACT ANALYSIS SPREADSHEET</t>
  </si>
  <si>
    <t>WZ Queue</t>
  </si>
  <si>
    <t>WZ Delay</t>
  </si>
  <si>
    <t>Base Queue</t>
  </si>
  <si>
    <t>WZ Delay for Graph</t>
  </si>
  <si>
    <t>Open Lane Capacity (pc/h/lane):</t>
  </si>
  <si>
    <t>Work Location:</t>
  </si>
  <si>
    <t>Travel Lane Width (ft):</t>
  </si>
  <si>
    <t>Number of Lanes Open:</t>
  </si>
  <si>
    <t>USER DEFINED Work Zone Capacity (pc/h):</t>
  </si>
  <si>
    <t>ESTIMATED Work Zone Capacity (pc/h):</t>
  </si>
  <si>
    <t>WORKSHEET</t>
  </si>
  <si>
    <t>Base Conditions Capacity (Total for ALL Lanes):</t>
  </si>
  <si>
    <t>Work Description:</t>
  </si>
  <si>
    <t>(Example: Pothole Patching - Close One Lane OR Joint Repair - Two Lanes Closed)</t>
  </si>
  <si>
    <t>Capacity all wz lanes</t>
  </si>
  <si>
    <t>capacity all wz lanes</t>
  </si>
  <si>
    <t>Total Delay</t>
  </si>
  <si>
    <t>cell below in use</t>
  </si>
  <si>
    <t>Duration of Closure (hrs):</t>
  </si>
  <si>
    <r>
      <t xml:space="preserve">Enter information into the </t>
    </r>
    <r>
      <rPr>
        <b/>
        <sz val="10"/>
        <rFont val="Arial"/>
        <family val="2"/>
      </rPr>
      <t>HIGHLIGHTED</t>
    </r>
    <r>
      <rPr>
        <sz val="10"/>
        <rFont val="Arial"/>
        <family val="2"/>
      </rPr>
      <t xml:space="preserve"> cells.</t>
    </r>
  </si>
  <si>
    <t>BLUE</t>
  </si>
  <si>
    <t>cells indicate information needed regarding the Base Conditions</t>
  </si>
  <si>
    <t>ORANGE</t>
  </si>
  <si>
    <t>cells indicate information needed regarding the Work Zone</t>
  </si>
  <si>
    <t>YELLOW</t>
  </si>
  <si>
    <t>cells are optional inputs.  Leave these BLANK if you want to use the spreadsheets defaults.</t>
  </si>
  <si>
    <t>WZ Impact Analysis Spreadsheet with HCM 2010 Program Directions</t>
  </si>
  <si>
    <t>The following links will provide additional details regarding the speadsheet.</t>
  </si>
  <si>
    <t>Engineering Policy Guide:</t>
  </si>
  <si>
    <t>Spreadsheet Instructions:</t>
  </si>
  <si>
    <r>
      <t>TRAFFIC VOLUME DATA:</t>
    </r>
    <r>
      <rPr>
        <sz val="10"/>
        <rFont val="Arial"/>
        <family val="2"/>
      </rPr>
      <t xml:space="preserve"> Obtained from TMS Traffic Segment Hourly Volume (TSHV) Application</t>
    </r>
  </si>
  <si>
    <t>Link to Transportation Management System (TMS)</t>
  </si>
  <si>
    <t>Link to Directions on how to use the TSHV table.</t>
  </si>
  <si>
    <t>Use the TABS to navigate the spreadsheet.</t>
  </si>
  <si>
    <t>INCLINE GRADE (mi):</t>
  </si>
  <si>
    <t>Total User Costs - Work Zone ($)</t>
  </si>
  <si>
    <t>This speadsheet was developed by MoDOT Central Office Traffic and Highway Safety Division and the University of Missouri - Columbia</t>
  </si>
  <si>
    <t>Open Lane Capacity (veh/h/lane):</t>
  </si>
  <si>
    <t>ESTIMATED Work Zone Capacity (veh/h):</t>
  </si>
  <si>
    <t>USER DEFINED Work Zone Capacity (veh/h):</t>
  </si>
  <si>
    <t>USER COST ( $ / hr )</t>
  </si>
  <si>
    <t>Text Date</t>
  </si>
  <si>
    <t>Graph Below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</si>
</sst>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164" formatCode="&quot;$&quot;#,##0.00"/>
    <numFmt numFmtId="165" formatCode="[$-409]h:mm\ AM/PM;@"/>
    <numFmt numFmtId="166" formatCode="0.000"/>
    <numFmt numFmtId="167" formatCode="0.0"/>
    <numFmt numFmtId="168" formatCode="0.0%"/>
    <numFmt numFmtId="169" formatCode="&quot;$&quot;#,##0"/>
    <numFmt numFmtId="170" formatCode="#,##0.0"/>
  </numFmts>
  <fonts count="58" x14ac:knownFonts="1">
    <font>
      <sz val="10"/>
      <name val="Arial"/>
    </font>
    <font>
      <sz val="11"/>
      <color theme="1"/>
      <name val="Calibri"/>
      <family val="2"/>
      <scheme val="minor"/>
    </font>
    <font>
      <sz val="10"/>
      <name val="Arial"/>
    </font>
    <font>
      <b/>
      <sz val="10"/>
      <name val="Arial"/>
      <family val="2"/>
    </font>
    <font>
      <b/>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sz val="10"/>
      <name val="Arial"/>
      <family val="2"/>
    </font>
    <font>
      <sz val="24"/>
      <color indexed="60"/>
      <name val="Arial"/>
      <family val="2"/>
    </font>
    <font>
      <b/>
      <i/>
      <sz val="10"/>
      <name val="Arial"/>
      <family val="2"/>
    </font>
    <font>
      <vertAlign val="subscript"/>
      <sz val="11"/>
      <color indexed="8"/>
      <name val="Calibri"/>
      <family val="2"/>
    </font>
    <font>
      <sz val="10"/>
      <color indexed="8"/>
      <name val="Calibri"/>
      <family val="2"/>
    </font>
    <font>
      <b/>
      <sz val="11"/>
      <color indexed="8"/>
      <name val="Times New Roman"/>
      <family val="1"/>
    </font>
    <font>
      <sz val="11"/>
      <color indexed="8"/>
      <name val="Times New Roman"/>
      <family val="1"/>
    </font>
    <font>
      <b/>
      <vertAlign val="subscript"/>
      <sz val="11"/>
      <color indexed="8"/>
      <name val="Times New Roman"/>
      <family val="1"/>
    </font>
    <font>
      <sz val="10"/>
      <name val="Arial"/>
      <family val="2"/>
    </font>
    <font>
      <b/>
      <sz val="12"/>
      <color indexed="60"/>
      <name val="Arial"/>
      <family val="2"/>
    </font>
    <font>
      <sz val="24"/>
      <name val="Arial"/>
      <family val="2"/>
    </font>
    <font>
      <b/>
      <sz val="14"/>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z val="10"/>
      <color rgb="FFFF0000"/>
      <name val="Arial"/>
      <family val="2"/>
    </font>
    <font>
      <b/>
      <sz val="10"/>
      <color rgb="FFFF0000"/>
      <name val="Arial"/>
      <family val="2"/>
    </font>
    <font>
      <b/>
      <sz val="8"/>
      <name val="Arial"/>
      <family val="2"/>
    </font>
    <font>
      <sz val="10"/>
      <color theme="0"/>
      <name val="Arial"/>
      <family val="2"/>
    </font>
    <font>
      <sz val="22"/>
      <name val="Arial"/>
      <family val="2"/>
    </font>
    <font>
      <sz val="10"/>
      <color theme="1"/>
      <name val="Arial"/>
      <family val="2"/>
    </font>
    <font>
      <b/>
      <sz val="12"/>
      <color rgb="FF0070C0"/>
      <name val="Arial"/>
      <family val="2"/>
    </font>
    <font>
      <sz val="9"/>
      <color indexed="81"/>
      <name val="Tahoma"/>
      <family val="2"/>
    </font>
    <font>
      <b/>
      <sz val="9"/>
      <color indexed="81"/>
      <name val="Tahoma"/>
      <family val="2"/>
    </font>
    <font>
      <b/>
      <u/>
      <sz val="10"/>
      <color rgb="FFFF0000"/>
      <name val="Arial"/>
      <family val="2"/>
    </font>
    <font>
      <b/>
      <u/>
      <sz val="16"/>
      <name val="Arial"/>
      <family val="2"/>
    </font>
    <font>
      <b/>
      <sz val="16"/>
      <name val="Arial"/>
      <family val="2"/>
    </font>
    <font>
      <b/>
      <u/>
      <sz val="10"/>
      <color theme="0"/>
      <name val="Arial"/>
      <family val="2"/>
    </font>
    <font>
      <b/>
      <sz val="18"/>
      <color rgb="FF0000FF"/>
      <name val="Arial"/>
      <family val="2"/>
    </font>
    <font>
      <b/>
      <i/>
      <sz val="11"/>
      <name val="Arial"/>
      <family val="2"/>
    </font>
    <font>
      <b/>
      <sz val="18"/>
      <color rgb="FFFF0000"/>
      <name val="Arial"/>
      <family val="2"/>
    </font>
    <font>
      <u/>
      <sz val="9"/>
      <color indexed="81"/>
      <name val="Tahoma"/>
      <family val="2"/>
    </font>
    <font>
      <i/>
      <sz val="9"/>
      <color indexed="81"/>
      <name val="Tahoma"/>
      <family val="2"/>
    </font>
    <font>
      <sz val="10"/>
      <color rgb="FF0000FF"/>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9"/>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lightVertical">
        <fgColor auto="1"/>
        <bgColor auto="1"/>
      </patternFill>
    </fill>
    <fill>
      <patternFill patternType="lightVertical"/>
    </fill>
    <fill>
      <patternFill patternType="solid">
        <fgColor rgb="FFFFC000"/>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cellStyleXfs>
  <cellXfs count="294">
    <xf numFmtId="0" fontId="0" fillId="0" borderId="0" xfId="0"/>
    <xf numFmtId="0" fontId="3" fillId="0" borderId="0" xfId="0" applyFont="1"/>
    <xf numFmtId="0" fontId="0" fillId="0" borderId="0" xfId="0" applyBorder="1"/>
    <xf numFmtId="2" fontId="0" fillId="0" borderId="0" xfId="0" applyNumberFormat="1"/>
    <xf numFmtId="0" fontId="3" fillId="0" borderId="0" xfId="0" applyFont="1" applyAlignment="1">
      <alignment wrapText="1"/>
    </xf>
    <xf numFmtId="0" fontId="0" fillId="0" borderId="0" xfId="0" applyAlignment="1">
      <alignment horizontal="center"/>
    </xf>
    <xf numFmtId="0" fontId="0" fillId="24" borderId="0" xfId="0" applyFill="1" applyBorder="1" applyAlignment="1">
      <alignment horizontal="center"/>
    </xf>
    <xf numFmtId="0" fontId="4" fillId="0" borderId="10" xfId="0" applyFont="1" applyBorder="1"/>
    <xf numFmtId="0" fontId="3" fillId="0" borderId="10" xfId="0" applyFont="1" applyBorder="1" applyAlignment="1">
      <alignment horizontal="center"/>
    </xf>
    <xf numFmtId="0" fontId="3" fillId="0" borderId="10" xfId="0" applyFont="1" applyBorder="1" applyAlignment="1">
      <alignment horizontal="center" wrapText="1"/>
    </xf>
    <xf numFmtId="0" fontId="0" fillId="0" borderId="0" xfId="0" applyBorder="1" applyAlignment="1">
      <alignment horizontal="center"/>
    </xf>
    <xf numFmtId="2" fontId="0" fillId="0" borderId="0" xfId="0" applyNumberFormat="1" applyBorder="1" applyAlignment="1">
      <alignment horizontal="center"/>
    </xf>
    <xf numFmtId="0" fontId="0" fillId="0" borderId="11" xfId="0" applyBorder="1"/>
    <xf numFmtId="0" fontId="0" fillId="0" borderId="11" xfId="0" applyBorder="1" applyAlignment="1">
      <alignment horizontal="center"/>
    </xf>
    <xf numFmtId="2" fontId="0" fillId="0" borderId="11" xfId="0" applyNumberFormat="1" applyBorder="1" applyAlignment="1">
      <alignment horizontal="center"/>
    </xf>
    <xf numFmtId="0" fontId="0" fillId="0" borderId="0" xfId="0" applyAlignment="1">
      <alignment wrapText="1"/>
    </xf>
    <xf numFmtId="8" fontId="3" fillId="0" borderId="0" xfId="0" applyNumberFormat="1" applyFont="1"/>
    <xf numFmtId="8" fontId="0" fillId="0" borderId="0" xfId="0" applyNumberFormat="1"/>
    <xf numFmtId="164" fontId="0" fillId="0" borderId="0" xfId="0" applyNumberFormat="1"/>
    <xf numFmtId="8" fontId="23" fillId="0" borderId="0" xfId="0" applyNumberFormat="1" applyFont="1"/>
    <xf numFmtId="164" fontId="23" fillId="0" borderId="0" xfId="0" applyNumberFormat="1" applyFont="1"/>
    <xf numFmtId="1" fontId="3" fillId="24" borderId="12" xfId="0" applyNumberFormat="1" applyFont="1" applyFill="1" applyBorder="1" applyAlignment="1">
      <alignment horizontal="center"/>
    </xf>
    <xf numFmtId="0" fontId="3" fillId="24" borderId="12" xfId="0" applyFont="1" applyFill="1" applyBorder="1" applyAlignment="1">
      <alignment horizontal="center"/>
    </xf>
    <xf numFmtId="0" fontId="24" fillId="0" borderId="0" xfId="0" applyFont="1" applyFill="1"/>
    <xf numFmtId="0" fontId="2" fillId="0" borderId="0" xfId="0" applyFont="1"/>
    <xf numFmtId="0" fontId="26" fillId="0" borderId="0" xfId="0" applyFont="1"/>
    <xf numFmtId="0" fontId="25" fillId="0" borderId="0" xfId="0" applyFont="1" applyAlignment="1"/>
    <xf numFmtId="0" fontId="35" fillId="0" borderId="0" xfId="0" applyFont="1"/>
    <xf numFmtId="0" fontId="0" fillId="0" borderId="12" xfId="0" applyBorder="1" applyAlignment="1">
      <alignment horizontal="center" wrapText="1"/>
    </xf>
    <xf numFmtId="0" fontId="0" fillId="25" borderId="12" xfId="0" applyFill="1" applyBorder="1" applyAlignment="1">
      <alignment horizontal="center" wrapText="1"/>
    </xf>
    <xf numFmtId="0" fontId="0" fillId="0" borderId="12" xfId="0" applyFill="1" applyBorder="1" applyAlignment="1">
      <alignment horizontal="center" wrapText="1"/>
    </xf>
    <xf numFmtId="0" fontId="0" fillId="0" borderId="0" xfId="0" applyBorder="1" applyAlignment="1">
      <alignment horizontal="center" wrapText="1"/>
    </xf>
    <xf numFmtId="0" fontId="0" fillId="0" borderId="0" xfId="0" applyFill="1" applyBorder="1" applyAlignment="1">
      <alignment horizontal="center" wrapText="1"/>
    </xf>
    <xf numFmtId="0" fontId="0" fillId="25" borderId="0" xfId="0" applyFill="1" applyBorder="1" applyAlignment="1">
      <alignment horizontal="center" wrapText="1"/>
    </xf>
    <xf numFmtId="1" fontId="0" fillId="25" borderId="12" xfId="0" applyNumberFormat="1" applyFill="1" applyBorder="1" applyAlignment="1">
      <alignment horizontal="center" wrapText="1"/>
    </xf>
    <xf numFmtId="166" fontId="0" fillId="0" borderId="12" xfId="0" applyNumberFormat="1" applyBorder="1" applyAlignment="1">
      <alignment horizontal="center" wrapText="1"/>
    </xf>
    <xf numFmtId="1" fontId="0" fillId="0" borderId="12" xfId="0" applyNumberFormat="1" applyBorder="1" applyAlignment="1">
      <alignment horizontal="center" wrapText="1"/>
    </xf>
    <xf numFmtId="1" fontId="0" fillId="0" borderId="0" xfId="0" applyNumberFormat="1" applyBorder="1" applyAlignment="1">
      <alignment horizontal="center" wrapText="1"/>
    </xf>
    <xf numFmtId="1" fontId="0" fillId="0" borderId="0" xfId="0" applyNumberFormat="1" applyBorder="1" applyAlignment="1">
      <alignment horizontal="center"/>
    </xf>
    <xf numFmtId="0" fontId="0" fillId="25" borderId="0" xfId="0" applyFill="1" applyBorder="1" applyAlignment="1">
      <alignment horizontal="center"/>
    </xf>
    <xf numFmtId="49" fontId="0" fillId="25" borderId="12" xfId="0" applyNumberFormat="1" applyFill="1" applyBorder="1" applyAlignment="1">
      <alignment horizontal="center" wrapText="1"/>
    </xf>
    <xf numFmtId="0" fontId="0" fillId="0" borderId="0" xfId="0" applyFont="1" applyFill="1" applyBorder="1" applyAlignment="1">
      <alignment horizontal="left"/>
    </xf>
    <xf numFmtId="0" fontId="0" fillId="0" borderId="0" xfId="0" applyFill="1" applyBorder="1"/>
    <xf numFmtId="0" fontId="36" fillId="0" borderId="0" xfId="0" applyFont="1" applyFill="1" applyBorder="1" applyAlignment="1">
      <alignment horizontal="left"/>
    </xf>
    <xf numFmtId="0" fontId="37" fillId="0" borderId="0" xfId="0" applyFont="1" applyFill="1" applyBorder="1" applyAlignment="1">
      <alignment horizontal="left"/>
    </xf>
    <xf numFmtId="0" fontId="38" fillId="0" borderId="0" xfId="0" applyFont="1"/>
    <xf numFmtId="0" fontId="37" fillId="0" borderId="0" xfId="0" applyFont="1"/>
    <xf numFmtId="0" fontId="36" fillId="0" borderId="0" xfId="0" applyFont="1"/>
    <xf numFmtId="0" fontId="32" fillId="25" borderId="12" xfId="0" applyFont="1" applyFill="1" applyBorder="1" applyAlignment="1">
      <alignment horizontal="center" wrapText="1"/>
    </xf>
    <xf numFmtId="0" fontId="32" fillId="0" borderId="13" xfId="0" applyFont="1" applyBorder="1" applyAlignment="1">
      <alignment horizontal="center"/>
    </xf>
    <xf numFmtId="167" fontId="32" fillId="0" borderId="13" xfId="0" applyNumberFormat="1" applyFont="1" applyBorder="1" applyAlignment="1">
      <alignment horizontal="center"/>
    </xf>
    <xf numFmtId="0" fontId="0" fillId="26" borderId="12" xfId="0" applyFill="1" applyBorder="1" applyAlignment="1">
      <alignment horizontal="center" wrapText="1"/>
    </xf>
    <xf numFmtId="167" fontId="0" fillId="26" borderId="12" xfId="0" applyNumberFormat="1" applyFill="1" applyBorder="1" applyAlignment="1">
      <alignment horizontal="center"/>
    </xf>
    <xf numFmtId="4" fontId="0" fillId="0" borderId="0" xfId="0" applyNumberFormat="1" applyAlignment="1">
      <alignment horizontal="center"/>
    </xf>
    <xf numFmtId="0" fontId="0" fillId="0" borderId="13" xfId="0" applyBorder="1" applyAlignment="1"/>
    <xf numFmtId="0" fontId="24" fillId="0" borderId="0" xfId="0" applyFont="1"/>
    <xf numFmtId="0" fontId="15" fillId="0" borderId="0" xfId="34" applyAlignment="1" applyProtection="1"/>
    <xf numFmtId="0" fontId="0" fillId="0" borderId="0" xfId="0" applyAlignment="1">
      <alignment horizontal="center" vertical="center" wrapText="1"/>
    </xf>
    <xf numFmtId="0" fontId="4" fillId="0" borderId="0" xfId="0" applyFont="1"/>
    <xf numFmtId="0" fontId="24" fillId="0" borderId="0" xfId="0" applyFont="1" applyAlignment="1">
      <alignment horizontal="center" vertical="center"/>
    </xf>
    <xf numFmtId="0" fontId="24" fillId="0" borderId="0" xfId="0" applyFont="1" applyAlignment="1">
      <alignment vertical="center"/>
    </xf>
    <xf numFmtId="0" fontId="0" fillId="0" borderId="0" xfId="0" applyAlignment="1">
      <alignment vertical="center"/>
    </xf>
    <xf numFmtId="0" fontId="0" fillId="0" borderId="17" xfId="0" applyBorder="1" applyAlignment="1">
      <alignment horizontal="center" wrapText="1"/>
    </xf>
    <xf numFmtId="0" fontId="0" fillId="0" borderId="17" xfId="0" applyBorder="1" applyAlignment="1"/>
    <xf numFmtId="9" fontId="0" fillId="0" borderId="13" xfId="0" applyNumberFormat="1" applyFont="1" applyBorder="1" applyAlignment="1">
      <alignment horizontal="center" wrapText="1"/>
    </xf>
    <xf numFmtId="9" fontId="0" fillId="0" borderId="13" xfId="0" applyNumberFormat="1" applyFont="1" applyFill="1" applyBorder="1" applyAlignment="1">
      <alignment horizontal="center" wrapText="1"/>
    </xf>
    <xf numFmtId="0" fontId="3" fillId="0" borderId="0" xfId="0" applyFont="1" applyFill="1"/>
    <xf numFmtId="0" fontId="3" fillId="0" borderId="0" xfId="0" applyFont="1" applyFill="1" applyAlignment="1">
      <alignment horizontal="center"/>
    </xf>
    <xf numFmtId="0" fontId="0" fillId="0" borderId="0" xfId="0" applyFill="1"/>
    <xf numFmtId="9" fontId="3" fillId="0" borderId="0" xfId="0" applyNumberFormat="1" applyFont="1" applyFill="1" applyAlignment="1">
      <alignment horizontal="center"/>
    </xf>
    <xf numFmtId="0" fontId="24" fillId="0" borderId="18" xfId="0" applyFont="1" applyFill="1" applyBorder="1" applyAlignment="1">
      <alignment horizontal="center"/>
    </xf>
    <xf numFmtId="0" fontId="25" fillId="0" borderId="0" xfId="0" applyFont="1" applyFill="1" applyAlignment="1"/>
    <xf numFmtId="0" fontId="0" fillId="0" borderId="0" xfId="0" applyFill="1" applyBorder="1" applyAlignment="1">
      <alignment horizontal="center"/>
    </xf>
    <xf numFmtId="0" fontId="0" fillId="0" borderId="0" xfId="0" applyFill="1" applyAlignment="1">
      <alignment horizontal="center"/>
    </xf>
    <xf numFmtId="0" fontId="39" fillId="0" borderId="0" xfId="0" applyFont="1"/>
    <xf numFmtId="0" fontId="39" fillId="0" borderId="0" xfId="0" applyFont="1" applyFill="1"/>
    <xf numFmtId="2" fontId="39" fillId="0" borderId="0" xfId="0" applyNumberFormat="1" applyFont="1" applyFill="1"/>
    <xf numFmtId="0" fontId="40" fillId="0" borderId="0" xfId="0" applyFont="1" applyFill="1"/>
    <xf numFmtId="165" fontId="3" fillId="0" borderId="0" xfId="0" applyNumberFormat="1" applyFont="1" applyBorder="1" applyAlignment="1">
      <alignment horizontal="center"/>
    </xf>
    <xf numFmtId="1" fontId="3" fillId="0" borderId="0" xfId="0" applyNumberFormat="1" applyFont="1" applyBorder="1" applyAlignment="1">
      <alignment horizontal="center"/>
    </xf>
    <xf numFmtId="0" fontId="24" fillId="0" borderId="0" xfId="0" applyFont="1" applyAlignment="1">
      <alignment wrapText="1"/>
    </xf>
    <xf numFmtId="165" fontId="0" fillId="26" borderId="0" xfId="0" applyNumberFormat="1" applyFill="1" applyAlignment="1">
      <alignment horizontal="center"/>
    </xf>
    <xf numFmtId="0" fontId="39" fillId="0" borderId="0" xfId="0" applyNumberFormat="1" applyFont="1" applyProtection="1"/>
    <xf numFmtId="2" fontId="0" fillId="0" borderId="0" xfId="0" applyNumberFormat="1" applyFill="1" applyBorder="1" applyAlignment="1">
      <alignment horizontal="center"/>
    </xf>
    <xf numFmtId="165" fontId="0" fillId="0" borderId="0" xfId="0" applyNumberFormat="1" applyFill="1" applyAlignment="1">
      <alignment horizontal="center"/>
    </xf>
    <xf numFmtId="1" fontId="3" fillId="0" borderId="0" xfId="0" applyNumberFormat="1" applyFont="1" applyFill="1" applyBorder="1" applyAlignment="1">
      <alignment horizontal="center"/>
    </xf>
    <xf numFmtId="0" fontId="3" fillId="0" borderId="0" xfId="0" applyFont="1" applyFill="1" applyBorder="1" applyAlignment="1">
      <alignment horizontal="center"/>
    </xf>
    <xf numFmtId="2" fontId="39" fillId="0" borderId="0" xfId="0" applyNumberFormat="1" applyFont="1" applyAlignment="1">
      <alignment horizontal="center"/>
    </xf>
    <xf numFmtId="0" fontId="39" fillId="0" borderId="0" xfId="0" applyFont="1" applyBorder="1"/>
    <xf numFmtId="0" fontId="39" fillId="0" borderId="11" xfId="0" applyFont="1" applyBorder="1"/>
    <xf numFmtId="0" fontId="39" fillId="0" borderId="0" xfId="0" applyFont="1" applyAlignment="1">
      <alignment wrapText="1"/>
    </xf>
    <xf numFmtId="0" fontId="40" fillId="0" borderId="0" xfId="0" applyFont="1" applyAlignment="1">
      <alignment wrapText="1"/>
    </xf>
    <xf numFmtId="0" fontId="3" fillId="28" borderId="10" xfId="0" applyFont="1" applyFill="1" applyBorder="1" applyAlignment="1">
      <alignment horizontal="center"/>
    </xf>
    <xf numFmtId="0" fontId="3" fillId="29" borderId="10" xfId="0" applyFont="1" applyFill="1" applyBorder="1" applyAlignment="1">
      <alignment horizontal="center"/>
    </xf>
    <xf numFmtId="0" fontId="3" fillId="29" borderId="10" xfId="0" applyFont="1" applyFill="1" applyBorder="1" applyAlignment="1">
      <alignment horizontal="center" wrapText="1"/>
    </xf>
    <xf numFmtId="0" fontId="3" fillId="30" borderId="10" xfId="0" applyFont="1" applyFill="1" applyBorder="1" applyAlignment="1">
      <alignment horizontal="center" wrapText="1"/>
    </xf>
    <xf numFmtId="0" fontId="3" fillId="30" borderId="0" xfId="0" applyFont="1" applyFill="1" applyBorder="1" applyAlignment="1">
      <alignment horizontal="center" wrapText="1"/>
    </xf>
    <xf numFmtId="2" fontId="0" fillId="0" borderId="0" xfId="0" applyNumberFormat="1" applyFill="1" applyAlignment="1">
      <alignment horizontal="center"/>
    </xf>
    <xf numFmtId="2" fontId="0" fillId="0" borderId="13" xfId="0" applyNumberFormat="1" applyFont="1" applyBorder="1" applyAlignment="1">
      <alignment horizontal="center" wrapText="1"/>
    </xf>
    <xf numFmtId="2" fontId="0" fillId="0" borderId="13" xfId="0" applyNumberFormat="1" applyFont="1" applyFill="1" applyBorder="1" applyAlignment="1">
      <alignment horizontal="center" wrapText="1"/>
    </xf>
    <xf numFmtId="9" fontId="24" fillId="0" borderId="13" xfId="0" applyNumberFormat="1" applyFont="1" applyBorder="1" applyAlignment="1">
      <alignment horizontal="center" wrapText="1"/>
    </xf>
    <xf numFmtId="9" fontId="24" fillId="0" borderId="13" xfId="0" applyNumberFormat="1" applyFont="1" applyFill="1" applyBorder="1" applyAlignment="1">
      <alignment horizontal="center" wrapText="1"/>
    </xf>
    <xf numFmtId="9" fontId="0" fillId="26" borderId="12" xfId="0" applyNumberFormat="1" applyFill="1" applyBorder="1" applyAlignment="1">
      <alignment horizontal="center"/>
    </xf>
    <xf numFmtId="0" fontId="24" fillId="25" borderId="12" xfId="0" applyNumberFormat="1" applyFont="1" applyFill="1" applyBorder="1" applyAlignment="1">
      <alignment horizontal="center" wrapText="1"/>
    </xf>
    <xf numFmtId="0" fontId="0" fillId="0" borderId="0" xfId="0" applyFill="1" applyAlignment="1"/>
    <xf numFmtId="0" fontId="0" fillId="0" borderId="0" xfId="0" applyFill="1" applyAlignment="1"/>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3" fillId="27" borderId="19" xfId="0" applyFont="1" applyFill="1" applyBorder="1" applyAlignment="1">
      <alignment horizontal="center" vertical="center"/>
    </xf>
    <xf numFmtId="0" fontId="42" fillId="0" borderId="0" xfId="0" applyFont="1"/>
    <xf numFmtId="0" fontId="39" fillId="0" borderId="0" xfId="0" applyFont="1" applyFill="1" applyBorder="1"/>
    <xf numFmtId="167" fontId="0" fillId="0" borderId="12" xfId="0" applyNumberFormat="1" applyBorder="1" applyAlignment="1">
      <alignment horizontal="center"/>
    </xf>
    <xf numFmtId="1" fontId="0" fillId="0" borderId="12" xfId="0" applyNumberFormat="1" applyBorder="1" applyAlignment="1">
      <alignment horizontal="center"/>
    </xf>
    <xf numFmtId="0" fontId="3" fillId="27" borderId="12" xfId="0" applyFont="1" applyFill="1" applyBorder="1" applyAlignment="1"/>
    <xf numFmtId="169" fontId="0" fillId="0" borderId="12" xfId="0" applyNumberFormat="1" applyBorder="1" applyAlignment="1">
      <alignment horizontal="center"/>
    </xf>
    <xf numFmtId="0" fontId="48" fillId="0" borderId="0" xfId="0" applyFont="1" applyBorder="1" applyAlignment="1">
      <alignment vertical="center"/>
    </xf>
    <xf numFmtId="0" fontId="3" fillId="0" borderId="0" xfId="0" applyFont="1" applyBorder="1" applyAlignment="1"/>
    <xf numFmtId="0" fontId="3" fillId="27" borderId="12" xfId="0" applyFont="1" applyFill="1" applyBorder="1" applyAlignment="1">
      <alignment horizontal="center"/>
    </xf>
    <xf numFmtId="1" fontId="3" fillId="27" borderId="12" xfId="0" applyNumberFormat="1" applyFont="1" applyFill="1" applyBorder="1" applyAlignment="1">
      <alignment horizontal="center"/>
    </xf>
    <xf numFmtId="0" fontId="3" fillId="27" borderId="12" xfId="0" applyFont="1" applyFill="1" applyBorder="1" applyAlignment="1">
      <alignment horizontal="left" vertical="center"/>
    </xf>
    <xf numFmtId="0" fontId="3" fillId="27" borderId="12" xfId="0" applyFont="1" applyFill="1" applyBorder="1" applyAlignment="1">
      <alignment horizontal="left" vertical="center" wrapText="1"/>
    </xf>
    <xf numFmtId="0" fontId="49" fillId="0" borderId="0" xfId="0" applyFont="1" applyBorder="1" applyAlignment="1">
      <alignment horizontal="center" vertical="center" textRotation="90"/>
    </xf>
    <xf numFmtId="0" fontId="24" fillId="33" borderId="12" xfId="0" applyFont="1" applyFill="1" applyBorder="1" applyAlignment="1">
      <alignment vertical="center"/>
    </xf>
    <xf numFmtId="0" fontId="0" fillId="34" borderId="12" xfId="0" applyFill="1" applyBorder="1"/>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wrapText="1"/>
    </xf>
    <xf numFmtId="0" fontId="52" fillId="0" borderId="0" xfId="0" applyFont="1" applyFill="1" applyAlignment="1">
      <alignment vertical="center"/>
    </xf>
    <xf numFmtId="0" fontId="45" fillId="0" borderId="0" xfId="0" applyFont="1" applyFill="1" applyAlignment="1">
      <alignment vertical="center"/>
    </xf>
    <xf numFmtId="0" fontId="0" fillId="0" borderId="0" xfId="0" applyFill="1" applyAlignment="1">
      <alignment vertical="center"/>
    </xf>
    <xf numFmtId="0" fontId="24" fillId="32" borderId="12" xfId="0" applyFont="1" applyFill="1" applyBorder="1" applyAlignment="1" applyProtection="1">
      <alignment horizontal="center" vertical="center"/>
      <protection locked="0"/>
    </xf>
    <xf numFmtId="2" fontId="24" fillId="32" borderId="12" xfId="0" applyNumberFormat="1" applyFont="1" applyFill="1" applyBorder="1" applyAlignment="1" applyProtection="1">
      <alignment horizontal="center" vertical="center"/>
      <protection locked="0"/>
    </xf>
    <xf numFmtId="168" fontId="24" fillId="32" borderId="12" xfId="0" applyNumberFormat="1" applyFont="1" applyFill="1" applyBorder="1" applyAlignment="1" applyProtection="1">
      <alignment horizontal="center" vertical="center"/>
      <protection locked="0"/>
    </xf>
    <xf numFmtId="9" fontId="24" fillId="32" borderId="12" xfId="0" applyNumberFormat="1" applyFont="1" applyFill="1" applyBorder="1" applyAlignment="1" applyProtection="1">
      <alignment horizontal="center" vertical="center"/>
      <protection locked="0"/>
    </xf>
    <xf numFmtId="14" fontId="44" fillId="32" borderId="27" xfId="0" applyNumberFormat="1" applyFont="1" applyFill="1" applyBorder="1" applyAlignment="1" applyProtection="1">
      <alignment horizontal="center" vertical="center"/>
      <protection locked="0"/>
    </xf>
    <xf numFmtId="14" fontId="44" fillId="32" borderId="28" xfId="0" applyNumberFormat="1" applyFont="1" applyFill="1" applyBorder="1" applyAlignment="1" applyProtection="1">
      <alignment horizontal="center" vertical="center"/>
      <protection locked="0"/>
    </xf>
    <xf numFmtId="0" fontId="0" fillId="32" borderId="36" xfId="0" applyFill="1" applyBorder="1" applyAlignment="1" applyProtection="1">
      <alignment horizontal="center" vertical="center"/>
      <protection locked="0"/>
    </xf>
    <xf numFmtId="0" fontId="0" fillId="32" borderId="23" xfId="0" applyFill="1" applyBorder="1" applyAlignment="1" applyProtection="1">
      <alignment horizontal="center" vertical="center"/>
      <protection locked="0"/>
    </xf>
    <xf numFmtId="0" fontId="0" fillId="32" borderId="37" xfId="0" applyFill="1" applyBorder="1" applyAlignment="1" applyProtection="1">
      <alignment horizontal="center" vertical="center"/>
      <protection locked="0"/>
    </xf>
    <xf numFmtId="0" fontId="0" fillId="32" borderId="16" xfId="0" applyFill="1" applyBorder="1" applyAlignment="1" applyProtection="1">
      <alignment horizontal="center" vertical="center"/>
      <protection locked="0"/>
    </xf>
    <xf numFmtId="0" fontId="0" fillId="32" borderId="12" xfId="0" applyFill="1" applyBorder="1" applyAlignment="1" applyProtection="1">
      <alignment horizontal="center" vertical="center"/>
      <protection locked="0"/>
    </xf>
    <xf numFmtId="0" fontId="0" fillId="32" borderId="31" xfId="0" applyFill="1" applyBorder="1" applyAlignment="1" applyProtection="1">
      <alignment horizontal="center" vertical="center"/>
      <protection locked="0"/>
    </xf>
    <xf numFmtId="0" fontId="0" fillId="32" borderId="33" xfId="0" applyFill="1" applyBorder="1" applyAlignment="1" applyProtection="1">
      <alignment horizontal="center" vertical="center"/>
      <protection locked="0"/>
    </xf>
    <xf numFmtId="0" fontId="0" fillId="32" borderId="34" xfId="0" applyFill="1" applyBorder="1" applyAlignment="1" applyProtection="1">
      <alignment horizontal="center" vertical="center"/>
      <protection locked="0"/>
    </xf>
    <xf numFmtId="0" fontId="0" fillId="32" borderId="35" xfId="0" applyFill="1" applyBorder="1" applyAlignment="1" applyProtection="1">
      <alignment horizontal="center" vertical="center"/>
      <protection locked="0"/>
    </xf>
    <xf numFmtId="0" fontId="0" fillId="32" borderId="29" xfId="0" applyFill="1" applyBorder="1" applyAlignment="1" applyProtection="1">
      <alignment horizontal="center" vertical="center"/>
      <protection locked="0"/>
    </xf>
    <xf numFmtId="0" fontId="0" fillId="32" borderId="27" xfId="0" applyFill="1" applyBorder="1" applyAlignment="1" applyProtection="1">
      <alignment horizontal="center" vertical="center"/>
      <protection locked="0"/>
    </xf>
    <xf numFmtId="0" fontId="0" fillId="32" borderId="28" xfId="0" applyFill="1" applyBorder="1" applyAlignment="1" applyProtection="1">
      <alignment horizontal="center" vertical="center"/>
      <protection locked="0"/>
    </xf>
    <xf numFmtId="0" fontId="0" fillId="32" borderId="32" xfId="0" applyFill="1" applyBorder="1" applyAlignment="1" applyProtection="1">
      <alignment horizontal="center" vertical="center"/>
      <protection locked="0"/>
    </xf>
    <xf numFmtId="0" fontId="0" fillId="32" borderId="24" xfId="0" applyFill="1" applyBorder="1" applyAlignment="1" applyProtection="1">
      <alignment horizontal="center" vertical="center"/>
      <protection locked="0"/>
    </xf>
    <xf numFmtId="0" fontId="0" fillId="32" borderId="25" xfId="0" applyFill="1" applyBorder="1" applyAlignment="1" applyProtection="1">
      <alignment horizontal="center" vertical="center"/>
      <protection locked="0"/>
    </xf>
    <xf numFmtId="0" fontId="0" fillId="32" borderId="38" xfId="0" applyFill="1" applyBorder="1" applyAlignment="1" applyProtection="1">
      <alignment horizontal="center" vertical="center"/>
      <protection locked="0"/>
    </xf>
    <xf numFmtId="0" fontId="0" fillId="32" borderId="21" xfId="0" applyFill="1" applyBorder="1" applyAlignment="1" applyProtection="1">
      <alignment horizontal="center" vertical="center"/>
      <protection locked="0"/>
    </xf>
    <xf numFmtId="0" fontId="0" fillId="32" borderId="39" xfId="0" applyFill="1" applyBorder="1" applyAlignment="1" applyProtection="1">
      <alignment horizontal="center" vertical="center"/>
      <protection locked="0"/>
    </xf>
    <xf numFmtId="0" fontId="0" fillId="0" borderId="61" xfId="0" applyBorder="1"/>
    <xf numFmtId="0" fontId="33" fillId="0" borderId="61" xfId="0" applyFont="1" applyFill="1" applyBorder="1" applyAlignment="1"/>
    <xf numFmtId="0" fontId="0" fillId="0" borderId="61" xfId="0" applyFill="1" applyBorder="1" applyAlignment="1"/>
    <xf numFmtId="0" fontId="0" fillId="0" borderId="62" xfId="0" applyFill="1" applyBorder="1" applyAlignment="1"/>
    <xf numFmtId="0" fontId="0" fillId="0" borderId="63" xfId="0" applyBorder="1"/>
    <xf numFmtId="0" fontId="0" fillId="0" borderId="63" xfId="0" applyBorder="1" applyAlignment="1">
      <alignment wrapText="1"/>
    </xf>
    <xf numFmtId="0" fontId="48" fillId="0" borderId="11" xfId="0" applyFont="1" applyBorder="1" applyAlignment="1">
      <alignment vertical="center"/>
    </xf>
    <xf numFmtId="0" fontId="51" fillId="0" borderId="11" xfId="0" applyFont="1" applyBorder="1" applyAlignment="1">
      <alignment vertical="center"/>
    </xf>
    <xf numFmtId="0" fontId="0" fillId="0" borderId="64" xfId="0" applyBorder="1"/>
    <xf numFmtId="0" fontId="53" fillId="0" borderId="0" xfId="0" applyFont="1" applyBorder="1" applyAlignment="1">
      <alignment vertical="center"/>
    </xf>
    <xf numFmtId="0" fontId="53" fillId="0" borderId="0" xfId="0" applyFont="1" applyBorder="1" applyAlignment="1"/>
    <xf numFmtId="0" fontId="54" fillId="31" borderId="14" xfId="0" applyFont="1" applyFill="1" applyBorder="1" applyAlignment="1">
      <alignment horizontal="center" vertical="center"/>
    </xf>
    <xf numFmtId="3" fontId="40" fillId="0" borderId="0" xfId="0" applyNumberFormat="1" applyFont="1" applyFill="1"/>
    <xf numFmtId="1" fontId="24" fillId="0" borderId="15" xfId="0" applyNumberFormat="1" applyFont="1" applyFill="1" applyBorder="1" applyAlignment="1">
      <alignment vertical="center"/>
    </xf>
    <xf numFmtId="0" fontId="57" fillId="0" borderId="0" xfId="0" applyFont="1" applyFill="1"/>
    <xf numFmtId="0" fontId="57" fillId="0" borderId="0" xfId="0" applyFont="1" applyFill="1" applyAlignment="1">
      <alignment vertical="center"/>
    </xf>
    <xf numFmtId="0" fontId="57" fillId="0" borderId="61" xfId="0" applyFont="1" applyFill="1" applyBorder="1" applyAlignment="1"/>
    <xf numFmtId="0" fontId="57" fillId="0" borderId="0" xfId="0" applyFont="1" applyFill="1" applyBorder="1"/>
    <xf numFmtId="0" fontId="57" fillId="0" borderId="0" xfId="0" applyFont="1" applyBorder="1"/>
    <xf numFmtId="0" fontId="57" fillId="0" borderId="11" xfId="0" applyFont="1" applyBorder="1"/>
    <xf numFmtId="0" fontId="57" fillId="0" borderId="0" xfId="0" applyFont="1"/>
    <xf numFmtId="0" fontId="4" fillId="0" borderId="57" xfId="0" applyFont="1" applyBorder="1" applyAlignment="1">
      <alignment vertical="center" wrapText="1"/>
    </xf>
    <xf numFmtId="0" fontId="54" fillId="31" borderId="14" xfId="0" applyFont="1" applyFill="1" applyBorder="1" applyAlignment="1" applyProtection="1">
      <alignment horizontal="center" vertical="center"/>
      <protection locked="0"/>
    </xf>
    <xf numFmtId="1" fontId="24" fillId="0" borderId="14" xfId="0" applyNumberFormat="1" applyFont="1" applyFill="1" applyBorder="1" applyAlignment="1">
      <alignment vertical="center"/>
    </xf>
    <xf numFmtId="3" fontId="0" fillId="0" borderId="0" xfId="0" applyNumberFormat="1" applyFill="1" applyBorder="1" applyAlignment="1">
      <alignment horizontal="center"/>
    </xf>
    <xf numFmtId="1" fontId="39" fillId="0" borderId="0" xfId="0" applyNumberFormat="1" applyFont="1"/>
    <xf numFmtId="165" fontId="3" fillId="0" borderId="12" xfId="0" applyNumberFormat="1" applyFont="1" applyBorder="1" applyAlignment="1">
      <alignment horizontal="center" vertical="center"/>
    </xf>
    <xf numFmtId="169" fontId="3" fillId="0" borderId="12" xfId="0" applyNumberFormat="1" applyFont="1" applyBorder="1" applyAlignment="1">
      <alignment horizontal="center" vertical="center"/>
    </xf>
    <xf numFmtId="0" fontId="3" fillId="27" borderId="23" xfId="0" applyFont="1" applyFill="1" applyBorder="1" applyAlignment="1">
      <alignment horizontal="left" vertical="center"/>
    </xf>
    <xf numFmtId="0" fontId="3" fillId="32" borderId="12" xfId="0" applyFont="1" applyFill="1" applyBorder="1" applyAlignment="1" applyProtection="1">
      <alignment horizontal="center" vertical="center"/>
      <protection locked="0"/>
    </xf>
    <xf numFmtId="0" fontId="3" fillId="32" borderId="0" xfId="0" applyFont="1" applyFill="1" applyBorder="1" applyAlignment="1" applyProtection="1">
      <alignment horizontal="center" vertical="center"/>
    </xf>
    <xf numFmtId="0" fontId="0" fillId="0" borderId="0" xfId="0" applyProtection="1"/>
    <xf numFmtId="0" fontId="24" fillId="0" borderId="0" xfId="0" applyFont="1" applyProtection="1"/>
    <xf numFmtId="0" fontId="3" fillId="35" borderId="0" xfId="0" applyFont="1" applyFill="1" applyAlignment="1" applyProtection="1">
      <alignment horizontal="center"/>
    </xf>
    <xf numFmtId="0" fontId="3" fillId="31" borderId="0" xfId="0" applyFont="1" applyFill="1" applyAlignment="1" applyProtection="1">
      <alignment horizontal="center"/>
    </xf>
    <xf numFmtId="0" fontId="3" fillId="0" borderId="0" xfId="0" applyFont="1" applyProtection="1"/>
    <xf numFmtId="0" fontId="24" fillId="0" borderId="0" xfId="0" applyFont="1" applyAlignment="1" applyProtection="1">
      <alignment horizontal="center"/>
    </xf>
    <xf numFmtId="0" fontId="3" fillId="27" borderId="26" xfId="0" applyFont="1" applyFill="1" applyBorder="1" applyAlignment="1">
      <alignment horizontal="center" vertical="center"/>
    </xf>
    <xf numFmtId="3" fontId="3" fillId="0" borderId="12" xfId="0" applyNumberFormat="1" applyFont="1" applyBorder="1" applyAlignment="1">
      <alignment horizontal="center" vertical="center"/>
    </xf>
    <xf numFmtId="0" fontId="3" fillId="26" borderId="12" xfId="0" applyFont="1" applyFill="1" applyBorder="1" applyAlignment="1" applyProtection="1">
      <alignment horizontal="center" vertical="center"/>
    </xf>
    <xf numFmtId="0" fontId="54" fillId="31" borderId="14" xfId="0" applyFont="1" applyFill="1" applyBorder="1" applyAlignment="1" applyProtection="1">
      <alignment horizontal="center" vertical="center"/>
    </xf>
    <xf numFmtId="170" fontId="3" fillId="0" borderId="23" xfId="0" applyNumberFormat="1" applyFont="1" applyBorder="1" applyAlignment="1">
      <alignment horizontal="center" vertical="center"/>
    </xf>
    <xf numFmtId="0" fontId="3" fillId="27" borderId="30" xfId="0" applyFont="1" applyFill="1" applyBorder="1" applyAlignment="1">
      <alignment horizontal="center" vertical="center"/>
    </xf>
    <xf numFmtId="164" fontId="3" fillId="32" borderId="25" xfId="0" applyNumberFormat="1" applyFont="1" applyFill="1" applyBorder="1" applyAlignment="1" applyProtection="1">
      <alignment horizontal="center" vertical="center"/>
      <protection locked="0"/>
    </xf>
    <xf numFmtId="164" fontId="3" fillId="32" borderId="28" xfId="0" applyNumberFormat="1" applyFont="1" applyFill="1" applyBorder="1" applyAlignment="1" applyProtection="1">
      <alignment horizontal="center" vertical="center"/>
      <protection locked="0"/>
    </xf>
    <xf numFmtId="0" fontId="3" fillId="27" borderId="54" xfId="0" applyFont="1" applyFill="1" applyBorder="1" applyAlignment="1">
      <alignment horizontal="center" vertical="center"/>
    </xf>
    <xf numFmtId="0" fontId="3" fillId="27" borderId="32" xfId="0" applyFont="1" applyFill="1" applyBorder="1" applyAlignment="1">
      <alignment horizontal="center" vertical="center"/>
    </xf>
    <xf numFmtId="0" fontId="3" fillId="27" borderId="49" xfId="0" applyFont="1" applyFill="1" applyBorder="1" applyAlignment="1">
      <alignment horizontal="center" vertical="center"/>
    </xf>
    <xf numFmtId="14" fontId="44" fillId="32" borderId="26" xfId="0" applyNumberFormat="1" applyFont="1" applyFill="1" applyBorder="1" applyAlignment="1" applyProtection="1">
      <alignment horizontal="center" vertical="center"/>
      <protection locked="0"/>
    </xf>
    <xf numFmtId="49" fontId="32" fillId="0" borderId="13" xfId="0" applyNumberFormat="1" applyFont="1" applyBorder="1" applyAlignment="1">
      <alignment horizontal="center" vertical="center"/>
    </xf>
    <xf numFmtId="0" fontId="32" fillId="0" borderId="13" xfId="0" applyFont="1" applyBorder="1" applyAlignment="1">
      <alignment horizontal="center" vertical="center"/>
    </xf>
    <xf numFmtId="0" fontId="0" fillId="0" borderId="17" xfId="0" applyFont="1" applyBorder="1" applyAlignment="1">
      <alignment horizontal="center"/>
    </xf>
    <xf numFmtId="0" fontId="0" fillId="0" borderId="19" xfId="0" applyFont="1" applyBorder="1" applyAlignment="1">
      <alignment horizontal="center"/>
    </xf>
    <xf numFmtId="0" fontId="0" fillId="0" borderId="20" xfId="0" applyFont="1" applyBorder="1" applyAlignment="1">
      <alignment horizontal="center"/>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13" xfId="0" applyBorder="1" applyAlignment="1">
      <alignment horizontal="center" wrapText="1"/>
    </xf>
    <xf numFmtId="0" fontId="0" fillId="0" borderId="13" xfId="0" applyBorder="1" applyAlignment="1"/>
    <xf numFmtId="0" fontId="24" fillId="0" borderId="21" xfId="0" applyFont="1" applyBorder="1" applyAlignment="1">
      <alignment horizontal="center" wrapText="1"/>
    </xf>
    <xf numFmtId="0" fontId="15" fillId="0" borderId="0" xfId="34" applyAlignment="1" applyProtection="1">
      <alignment horizontal="left"/>
    </xf>
    <xf numFmtId="0" fontId="34" fillId="0" borderId="0" xfId="0" applyFont="1" applyAlignment="1" applyProtection="1">
      <alignment horizontal="center" vertical="center" wrapText="1"/>
    </xf>
    <xf numFmtId="0" fontId="24" fillId="0" borderId="0" xfId="0" applyFont="1" applyAlignment="1" applyProtection="1">
      <alignment horizontal="left"/>
    </xf>
    <xf numFmtId="0" fontId="0" fillId="0" borderId="0" xfId="0" applyAlignment="1" applyProtection="1">
      <alignment horizontal="left"/>
    </xf>
    <xf numFmtId="0" fontId="3" fillId="27" borderId="40" xfId="0" applyFont="1" applyFill="1" applyBorder="1" applyAlignment="1">
      <alignment horizontal="left" vertical="center"/>
    </xf>
    <xf numFmtId="0" fontId="3" fillId="27" borderId="41" xfId="0" applyFont="1" applyFill="1" applyBorder="1" applyAlignment="1">
      <alignment horizontal="left" vertical="center"/>
    </xf>
    <xf numFmtId="0" fontId="3" fillId="27" borderId="42" xfId="0" applyFont="1" applyFill="1" applyBorder="1" applyAlignment="1">
      <alignment horizontal="left" vertical="center"/>
    </xf>
    <xf numFmtId="20" fontId="41" fillId="27" borderId="45" xfId="0" applyNumberFormat="1" applyFont="1" applyFill="1" applyBorder="1" applyAlignment="1">
      <alignment horizontal="center" vertical="center"/>
    </xf>
    <xf numFmtId="20" fontId="41" fillId="27" borderId="49" xfId="0" applyNumberFormat="1" applyFont="1" applyFill="1" applyBorder="1" applyAlignment="1">
      <alignment horizontal="center" vertical="center"/>
    </xf>
    <xf numFmtId="20" fontId="41" fillId="27" borderId="44" xfId="0" applyNumberFormat="1" applyFont="1" applyFill="1" applyBorder="1" applyAlignment="1">
      <alignment horizontal="center" vertical="center"/>
    </xf>
    <xf numFmtId="20" fontId="41" fillId="27" borderId="48" xfId="0" applyNumberFormat="1" applyFont="1" applyFill="1" applyBorder="1" applyAlignment="1">
      <alignment horizontal="center" vertical="center"/>
    </xf>
    <xf numFmtId="20" fontId="41" fillId="27" borderId="15" xfId="0" applyNumberFormat="1" applyFont="1" applyFill="1" applyBorder="1" applyAlignment="1">
      <alignment horizontal="center" vertical="center"/>
    </xf>
    <xf numFmtId="20" fontId="41" fillId="27" borderId="51" xfId="0" applyNumberFormat="1" applyFont="1" applyFill="1" applyBorder="1" applyAlignment="1">
      <alignment horizontal="center" vertical="center"/>
    </xf>
    <xf numFmtId="20" fontId="41" fillId="27" borderId="47" xfId="0" applyNumberFormat="1" applyFont="1" applyFill="1" applyBorder="1" applyAlignment="1">
      <alignment horizontal="center" vertical="center"/>
    </xf>
    <xf numFmtId="20" fontId="41" fillId="27" borderId="53" xfId="0" applyNumberFormat="1" applyFont="1" applyFill="1" applyBorder="1" applyAlignment="1">
      <alignment horizontal="center" vertical="center"/>
    </xf>
    <xf numFmtId="20" fontId="41" fillId="27" borderId="46" xfId="0" applyNumberFormat="1" applyFont="1" applyFill="1" applyBorder="1" applyAlignment="1">
      <alignment horizontal="center" vertical="center"/>
    </xf>
    <xf numFmtId="20" fontId="41" fillId="27" borderId="52" xfId="0" applyNumberFormat="1" applyFont="1" applyFill="1" applyBorder="1" applyAlignment="1">
      <alignment horizontal="center" vertical="center"/>
    </xf>
    <xf numFmtId="0" fontId="3" fillId="27" borderId="65" xfId="0" applyFont="1" applyFill="1" applyBorder="1" applyAlignment="1">
      <alignment horizontal="left" vertical="center"/>
    </xf>
    <xf numFmtId="0" fontId="3" fillId="27" borderId="15" xfId="0" applyFont="1" applyFill="1" applyBorder="1" applyAlignment="1">
      <alignment horizontal="left" vertical="center"/>
    </xf>
    <xf numFmtId="0" fontId="3" fillId="27" borderId="51" xfId="0" applyFont="1" applyFill="1" applyBorder="1" applyAlignment="1">
      <alignment horizontal="left" vertical="center"/>
    </xf>
    <xf numFmtId="0" fontId="3" fillId="27" borderId="56" xfId="0" applyFont="1" applyFill="1" applyBorder="1" applyAlignment="1">
      <alignment horizontal="center" vertical="center"/>
    </xf>
    <xf numFmtId="0" fontId="3" fillId="27" borderId="11" xfId="0" applyFont="1" applyFill="1" applyBorder="1" applyAlignment="1">
      <alignment horizontal="center" vertical="center"/>
    </xf>
    <xf numFmtId="0" fontId="3" fillId="27" borderId="19" xfId="0" applyFont="1" applyFill="1" applyBorder="1" applyAlignment="1">
      <alignment horizontal="center" vertical="center"/>
    </xf>
    <xf numFmtId="0" fontId="3" fillId="27" borderId="24" xfId="0" applyFont="1" applyFill="1" applyBorder="1" applyAlignment="1">
      <alignment horizontal="center" vertical="center" textRotation="90"/>
    </xf>
    <xf numFmtId="0" fontId="3" fillId="27" borderId="12" xfId="0" applyFont="1" applyFill="1" applyBorder="1" applyAlignment="1">
      <alignment horizontal="center" vertical="center" textRotation="90"/>
    </xf>
    <xf numFmtId="0" fontId="3" fillId="27" borderId="27" xfId="0" applyFont="1" applyFill="1" applyBorder="1" applyAlignment="1">
      <alignment horizontal="center" vertical="center" textRotation="90"/>
    </xf>
    <xf numFmtId="0" fontId="3" fillId="27" borderId="23" xfId="0" applyFont="1" applyFill="1" applyBorder="1" applyAlignment="1">
      <alignment horizontal="center" vertical="center" textRotation="90"/>
    </xf>
    <xf numFmtId="0" fontId="3" fillId="27" borderId="30" xfId="0" applyFont="1" applyFill="1" applyBorder="1" applyAlignment="1">
      <alignment horizontal="center" vertical="center" textRotation="90"/>
    </xf>
    <xf numFmtId="0" fontId="3" fillId="27" borderId="50" xfId="0" applyFont="1" applyFill="1" applyBorder="1" applyAlignment="1">
      <alignment horizontal="center" vertical="center" textRotation="90"/>
    </xf>
    <xf numFmtId="0" fontId="3" fillId="27" borderId="26" xfId="0" applyFont="1" applyFill="1" applyBorder="1" applyAlignment="1">
      <alignment horizontal="center" vertical="center" textRotation="90"/>
    </xf>
    <xf numFmtId="0" fontId="3" fillId="27" borderId="40" xfId="0" applyFont="1" applyFill="1" applyBorder="1" applyAlignment="1">
      <alignment horizontal="center" vertical="center"/>
    </xf>
    <xf numFmtId="0" fontId="3" fillId="27" borderId="42" xfId="0" applyFont="1" applyFill="1" applyBorder="1" applyAlignment="1">
      <alignment horizontal="center" vertical="center"/>
    </xf>
    <xf numFmtId="0" fontId="43" fillId="0" borderId="0" xfId="0" applyFont="1" applyAlignment="1">
      <alignment horizontal="left" vertical="center" wrapText="1"/>
    </xf>
    <xf numFmtId="0" fontId="3" fillId="27" borderId="54" xfId="0" applyFont="1" applyFill="1" applyBorder="1" applyAlignment="1">
      <alignment horizontal="center" vertical="center"/>
    </xf>
    <xf numFmtId="0" fontId="3" fillId="27" borderId="21" xfId="0" applyFont="1" applyFill="1" applyBorder="1" applyAlignment="1">
      <alignment horizontal="center" vertical="center"/>
    </xf>
    <xf numFmtId="0" fontId="3" fillId="27" borderId="27" xfId="0" applyFont="1" applyFill="1" applyBorder="1" applyAlignment="1">
      <alignment horizontal="center" vertical="center"/>
    </xf>
    <xf numFmtId="0" fontId="3" fillId="27" borderId="28" xfId="0" applyFont="1" applyFill="1" applyBorder="1" applyAlignment="1">
      <alignment horizontal="center" vertical="center"/>
    </xf>
    <xf numFmtId="0" fontId="3" fillId="27" borderId="55" xfId="0" applyFont="1" applyFill="1" applyBorder="1" applyAlignment="1">
      <alignment horizontal="center" vertical="center"/>
    </xf>
    <xf numFmtId="0" fontId="3" fillId="27" borderId="23" xfId="0" applyFont="1" applyFill="1" applyBorder="1" applyAlignment="1">
      <alignment horizontal="center" vertical="center"/>
    </xf>
    <xf numFmtId="0" fontId="3" fillId="27" borderId="37" xfId="0" applyFont="1" applyFill="1" applyBorder="1" applyAlignment="1">
      <alignment horizontal="center" vertical="center"/>
    </xf>
    <xf numFmtId="0" fontId="24" fillId="0" borderId="0" xfId="0" applyFont="1" applyAlignment="1">
      <alignment horizontal="center" vertical="center"/>
    </xf>
    <xf numFmtId="0" fontId="24" fillId="32" borderId="14" xfId="0" applyFont="1" applyFill="1" applyBorder="1" applyAlignment="1" applyProtection="1">
      <alignment horizontal="center" vertical="center"/>
      <protection locked="0"/>
    </xf>
    <xf numFmtId="0" fontId="24" fillId="32" borderId="15" xfId="0" applyFont="1" applyFill="1" applyBorder="1" applyAlignment="1" applyProtection="1">
      <alignment horizontal="center" vertical="center"/>
      <protection locked="0"/>
    </xf>
    <xf numFmtId="0" fontId="24" fillId="32" borderId="16" xfId="0" applyFont="1" applyFill="1" applyBorder="1" applyAlignment="1" applyProtection="1">
      <alignment horizontal="center" vertical="center"/>
      <protection locked="0"/>
    </xf>
    <xf numFmtId="0" fontId="24" fillId="0" borderId="0" xfId="0" applyFont="1" applyFill="1" applyBorder="1" applyAlignment="1">
      <alignment horizontal="center" vertical="center"/>
    </xf>
    <xf numFmtId="0" fontId="24" fillId="0" borderId="43" xfId="0" applyFont="1" applyFill="1" applyBorder="1" applyAlignment="1">
      <alignment horizontal="center" vertical="center"/>
    </xf>
    <xf numFmtId="1" fontId="24" fillId="0" borderId="12" xfId="0" applyNumberFormat="1" applyFont="1" applyBorder="1" applyAlignment="1">
      <alignment horizontal="center" vertical="center"/>
    </xf>
    <xf numFmtId="0" fontId="3" fillId="35" borderId="12" xfId="0" applyFont="1" applyFill="1" applyBorder="1" applyAlignment="1">
      <alignment horizontal="left" vertical="center" wrapText="1"/>
    </xf>
    <xf numFmtId="0" fontId="50" fillId="0" borderId="61" xfId="0" applyFont="1" applyBorder="1" applyAlignment="1">
      <alignment horizontal="center" vertical="center" textRotation="90"/>
    </xf>
    <xf numFmtId="0" fontId="50" fillId="0" borderId="0" xfId="0" applyFont="1" applyBorder="1" applyAlignment="1">
      <alignment horizontal="center" vertical="center" textRotation="90"/>
    </xf>
    <xf numFmtId="0" fontId="3" fillId="35" borderId="12" xfId="0" applyFont="1" applyFill="1" applyBorder="1" applyAlignment="1">
      <alignment horizontal="left" vertical="center"/>
    </xf>
    <xf numFmtId="0" fontId="3" fillId="35" borderId="12" xfId="0" applyFont="1" applyFill="1" applyBorder="1" applyAlignment="1">
      <alignment horizontal="center" vertical="center"/>
    </xf>
    <xf numFmtId="0" fontId="24" fillId="26" borderId="14" xfId="0" applyFont="1" applyFill="1" applyBorder="1" applyAlignment="1">
      <alignment horizontal="center"/>
    </xf>
    <xf numFmtId="0" fontId="24" fillId="26" borderId="15" xfId="0" applyFont="1" applyFill="1" applyBorder="1" applyAlignment="1">
      <alignment horizontal="center"/>
    </xf>
    <xf numFmtId="0" fontId="24" fillId="26" borderId="16" xfId="0" applyFont="1" applyFill="1" applyBorder="1" applyAlignment="1">
      <alignment horizontal="center"/>
    </xf>
    <xf numFmtId="165" fontId="3" fillId="35" borderId="12" xfId="0" applyNumberFormat="1" applyFont="1" applyFill="1" applyBorder="1" applyAlignment="1">
      <alignment horizontal="center" vertical="center"/>
    </xf>
    <xf numFmtId="0" fontId="50" fillId="0" borderId="58" xfId="0" applyFont="1" applyBorder="1" applyAlignment="1">
      <alignment horizontal="center" vertical="center" textRotation="90"/>
    </xf>
    <xf numFmtId="0" fontId="50" fillId="0" borderId="59" xfId="0" applyFont="1" applyBorder="1" applyAlignment="1">
      <alignment horizontal="center" vertical="center" textRotation="90"/>
    </xf>
    <xf numFmtId="0" fontId="50" fillId="0" borderId="60" xfId="0" applyFont="1" applyBorder="1" applyAlignment="1">
      <alignment horizontal="center" vertical="center" textRotation="90"/>
    </xf>
    <xf numFmtId="0" fontId="3" fillId="35" borderId="12" xfId="0" applyFont="1" applyFill="1" applyBorder="1" applyAlignment="1" applyProtection="1">
      <alignment horizontal="left" vertical="center"/>
    </xf>
    <xf numFmtId="0" fontId="3" fillId="35" borderId="12" xfId="0" applyFont="1" applyFill="1" applyBorder="1" applyAlignment="1" applyProtection="1">
      <alignment horizontal="center" vertical="center"/>
    </xf>
    <xf numFmtId="165" fontId="3" fillId="35" borderId="12" xfId="0" applyNumberFormat="1" applyFont="1" applyFill="1" applyBorder="1" applyAlignment="1" applyProtection="1">
      <alignment horizontal="center" vertical="center"/>
    </xf>
    <xf numFmtId="1" fontId="24" fillId="0" borderId="14" xfId="0" applyNumberFormat="1" applyFont="1" applyBorder="1" applyAlignment="1">
      <alignment horizontal="center" vertical="center"/>
    </xf>
    <xf numFmtId="1" fontId="24" fillId="0" borderId="15" xfId="0" applyNumberFormat="1" applyFont="1" applyBorder="1" applyAlignment="1">
      <alignment horizontal="center" vertical="center"/>
    </xf>
    <xf numFmtId="1" fontId="24" fillId="0" borderId="16" xfId="0" applyNumberFormat="1" applyFont="1" applyBorder="1" applyAlignment="1">
      <alignment horizontal="center" vertical="center"/>
    </xf>
    <xf numFmtId="165" fontId="3" fillId="35" borderId="12" xfId="0" applyNumberFormat="1" applyFont="1" applyFill="1" applyBorder="1" applyAlignment="1" applyProtection="1">
      <alignment horizontal="center" vertical="center"/>
      <protection locked="0"/>
    </xf>
    <xf numFmtId="1" fontId="24" fillId="0" borderId="12" xfId="0" applyNumberFormat="1" applyFont="1" applyFill="1" applyBorder="1" applyAlignment="1">
      <alignment horizontal="center" vertical="center"/>
    </xf>
    <xf numFmtId="0" fontId="3" fillId="35" borderId="12" xfId="0" applyFont="1" applyFill="1" applyBorder="1" applyAlignment="1" applyProtection="1">
      <alignment horizontal="center" vertical="center"/>
      <protection locked="0"/>
    </xf>
    <xf numFmtId="0" fontId="4" fillId="0" borderId="57" xfId="0" applyFont="1" applyBorder="1" applyAlignment="1">
      <alignment horizontal="center" vertical="center" wrapText="1"/>
    </xf>
    <xf numFmtId="0" fontId="4" fillId="0" borderId="0" xfId="0" applyFont="1" applyBorder="1" applyAlignment="1">
      <alignment horizontal="center" vertical="center" wrapText="1"/>
    </xf>
    <xf numFmtId="0" fontId="3" fillId="35" borderId="14" xfId="0" applyFont="1" applyFill="1" applyBorder="1" applyAlignment="1" applyProtection="1">
      <alignment horizontal="left" vertical="center" wrapText="1"/>
      <protection locked="0"/>
    </xf>
    <xf numFmtId="0" fontId="3" fillId="35" borderId="15" xfId="0" applyFont="1" applyFill="1" applyBorder="1" applyAlignment="1" applyProtection="1">
      <alignment horizontal="left" vertical="center" wrapText="1"/>
      <protection locked="0"/>
    </xf>
    <xf numFmtId="0" fontId="3" fillId="35" borderId="16" xfId="0" applyFont="1" applyFill="1" applyBorder="1" applyAlignment="1" applyProtection="1">
      <alignment horizontal="left" vertical="center" wrapText="1"/>
      <protection locked="0"/>
    </xf>
    <xf numFmtId="0" fontId="3" fillId="35" borderId="12" xfId="0" applyFont="1" applyFill="1" applyBorder="1" applyAlignment="1" applyProtection="1">
      <alignment horizontal="left" vertical="center"/>
      <protection locked="0"/>
    </xf>
    <xf numFmtId="0" fontId="3" fillId="27" borderId="14" xfId="0" applyFont="1" applyFill="1" applyBorder="1" applyAlignment="1">
      <alignment horizontal="left" vertical="center"/>
    </xf>
    <xf numFmtId="0" fontId="3" fillId="27" borderId="16" xfId="0" applyFont="1" applyFill="1" applyBorder="1" applyAlignment="1">
      <alignment horizontal="left" vertical="center"/>
    </xf>
    <xf numFmtId="0" fontId="3" fillId="27" borderId="21" xfId="0" applyFont="1" applyFill="1" applyBorder="1" applyAlignment="1">
      <alignment horizontal="center" vertical="center" textRotation="90" wrapText="1"/>
    </xf>
    <xf numFmtId="0" fontId="3" fillId="27" borderId="22" xfId="0" applyFont="1" applyFill="1" applyBorder="1" applyAlignment="1">
      <alignment horizontal="center" vertical="center" textRotation="90" wrapText="1"/>
    </xf>
    <xf numFmtId="0" fontId="3" fillId="27" borderId="23" xfId="0" applyFont="1" applyFill="1" applyBorder="1" applyAlignment="1">
      <alignment horizontal="center" vertical="center" textRotation="90"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3"/>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48">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ill>
        <patternFill>
          <bgColor rgb="FFFFC000"/>
        </patternFill>
      </fill>
    </dxf>
    <dxf>
      <font>
        <b val="0"/>
        <i val="0"/>
      </font>
      <fill>
        <patternFill>
          <bgColor theme="0"/>
        </patternFill>
      </fill>
    </dxf>
    <dxf>
      <font>
        <b val="0"/>
        <i val="0"/>
      </font>
      <fill>
        <patternFill>
          <bgColor theme="0"/>
        </patternFill>
      </fill>
    </dxf>
    <dxf>
      <fill>
        <patternFill>
          <bgColor rgb="FFFFC000"/>
        </patternFill>
      </fill>
    </dxf>
    <dxf>
      <font>
        <b val="0"/>
        <i val="0"/>
      </font>
      <fill>
        <patternFill>
          <bgColor theme="0"/>
        </patternFill>
      </fill>
    </dxf>
    <dxf>
      <font>
        <b val="0"/>
        <i val="0"/>
      </font>
      <fill>
        <patternFill>
          <bgColor theme="0"/>
        </patternFill>
      </fill>
    </dxf>
    <dxf>
      <fill>
        <patternFill>
          <bgColor rgb="FFFFC000"/>
        </patternFill>
      </fill>
    </dxf>
    <dxf>
      <font>
        <b val="0"/>
        <i val="0"/>
      </font>
      <fill>
        <patternFill>
          <bgColor theme="0"/>
        </patternFill>
      </fill>
    </dxf>
    <dxf>
      <font>
        <b val="0"/>
        <i val="0"/>
      </font>
      <fill>
        <patternFill>
          <bgColor theme="0"/>
        </patternFill>
      </fill>
    </dxf>
    <dxf>
      <fill>
        <patternFill>
          <bgColor rgb="FFFFC000"/>
        </patternFill>
      </fill>
    </dxf>
    <dxf>
      <font>
        <b val="0"/>
        <i val="0"/>
      </font>
      <fill>
        <patternFill>
          <bgColor theme="0"/>
        </patternFill>
      </fill>
    </dxf>
    <dxf>
      <font>
        <b val="0"/>
        <i val="0"/>
      </font>
      <fill>
        <patternFill>
          <bgColor theme="0"/>
        </patternFill>
      </fill>
    </dxf>
    <dxf>
      <font>
        <b val="0"/>
        <i val="0"/>
      </font>
      <fill>
        <patternFill>
          <bgColor theme="0"/>
        </patternFill>
      </fill>
    </dxf>
    <dxf>
      <fill>
        <patternFill>
          <bgColor rgb="FFFFC000"/>
        </patternFill>
      </fill>
    </dxf>
    <dxf>
      <font>
        <b val="0"/>
        <i val="0"/>
      </font>
      <fill>
        <patternFill>
          <bgColor theme="0"/>
        </patternFill>
      </fill>
    </dxf>
    <dxf>
      <font>
        <b val="0"/>
        <i val="0"/>
      </font>
      <fill>
        <patternFill>
          <bgColor theme="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
      <fill>
        <patternFill>
          <bgColor rgb="FFFFC000"/>
        </patternFill>
      </fill>
    </dxf>
    <dxf>
      <font>
        <b val="0"/>
        <i val="0"/>
      </font>
      <fill>
        <patternFill>
          <bgColor theme="0"/>
        </patternFill>
      </fill>
    </dxf>
  </dxfs>
  <tableStyles count="0" defaultTableStyle="TableStyleMedium9" defaultPivotStyle="PivotStyleLight16"/>
  <colors>
    <mruColors>
      <color rgb="FF0000FF"/>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90496585941551E-2"/>
          <c:y val="4.2908301695249479E-2"/>
          <c:w val="0.88302392906558558"/>
          <c:h val="0.60757902014653131"/>
        </c:manualLayout>
      </c:layout>
      <c:lineChart>
        <c:grouping val="standard"/>
        <c:varyColors val="0"/>
        <c:ser>
          <c:idx val="0"/>
          <c:order val="0"/>
          <c:tx>
            <c:strRef>
              <c:f>'Step 2 - Facility Data Inputs'!$E$21</c:f>
              <c:strCache>
                <c:ptCount val="1"/>
                <c:pt idx="0">
                  <c:v>Sunday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Inputs'!$E$23:$E$46</c:f>
              <c:numCache>
                <c:formatCode>General</c:formatCode>
                <c:ptCount val="24"/>
              </c:numCache>
            </c:numRef>
          </c:val>
          <c:smooth val="0"/>
        </c:ser>
        <c:ser>
          <c:idx val="2"/>
          <c:order val="1"/>
          <c:tx>
            <c:strRef>
              <c:f>'Step 2 - Facility Data Inputs'!$F$21</c:f>
              <c:strCache>
                <c:ptCount val="1"/>
                <c:pt idx="0">
                  <c:v>Monday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Inputs'!$F$23:$F$46</c:f>
              <c:numCache>
                <c:formatCode>General</c:formatCode>
                <c:ptCount val="24"/>
              </c:numCache>
            </c:numRef>
          </c:val>
          <c:smooth val="0"/>
        </c:ser>
        <c:ser>
          <c:idx val="3"/>
          <c:order val="2"/>
          <c:tx>
            <c:strRef>
              <c:f>'Step 2 - Facility Data Inputs'!$G$21</c:f>
              <c:strCache>
                <c:ptCount val="1"/>
                <c:pt idx="0">
                  <c:v>Tuesday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Inputs'!$G$23:$G$46</c:f>
              <c:numCache>
                <c:formatCode>General</c:formatCode>
                <c:ptCount val="24"/>
              </c:numCache>
            </c:numRef>
          </c:val>
          <c:smooth val="0"/>
        </c:ser>
        <c:ser>
          <c:idx val="4"/>
          <c:order val="3"/>
          <c:tx>
            <c:strRef>
              <c:f>'Step 2 - Facility Data Inputs'!$H$21</c:f>
              <c:strCache>
                <c:ptCount val="1"/>
                <c:pt idx="0">
                  <c:v>Wednesday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Inputs'!$H$23:$H$46</c:f>
              <c:numCache>
                <c:formatCode>General</c:formatCode>
                <c:ptCount val="24"/>
              </c:numCache>
            </c:numRef>
          </c:val>
          <c:smooth val="0"/>
        </c:ser>
        <c:ser>
          <c:idx val="5"/>
          <c:order val="4"/>
          <c:tx>
            <c:strRef>
              <c:f>'Step 2 - Facility Data Inputs'!$I$21</c:f>
              <c:strCache>
                <c:ptCount val="1"/>
                <c:pt idx="0">
                  <c:v>Thursday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Inputs'!$I$23:$I$46</c:f>
              <c:numCache>
                <c:formatCode>General</c:formatCode>
                <c:ptCount val="24"/>
              </c:numCache>
            </c:numRef>
          </c:val>
          <c:smooth val="0"/>
        </c:ser>
        <c:ser>
          <c:idx val="6"/>
          <c:order val="5"/>
          <c:tx>
            <c:strRef>
              <c:f>'Step 2 - Facility Data Inputs'!$J$21</c:f>
              <c:strCache>
                <c:ptCount val="1"/>
                <c:pt idx="0">
                  <c:v>Friday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Inputs'!$J$23:$J$46</c:f>
              <c:numCache>
                <c:formatCode>General</c:formatCode>
                <c:ptCount val="24"/>
              </c:numCache>
            </c:numRef>
          </c:val>
          <c:smooth val="0"/>
        </c:ser>
        <c:ser>
          <c:idx val="7"/>
          <c:order val="6"/>
          <c:tx>
            <c:strRef>
              <c:f>'Step 2 - Facility Data Inputs'!$K$21</c:f>
              <c:strCache>
                <c:ptCount val="1"/>
                <c:pt idx="0">
                  <c:v>Saturday</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'Step 2 - Facility Data Inputs'!$K$23:$K$46</c:f>
              <c:numCache>
                <c:formatCode>General</c:formatCode>
                <c:ptCount val="24"/>
              </c:numCache>
            </c:numRef>
          </c:val>
          <c:smooth val="0"/>
        </c:ser>
        <c:dLbls>
          <c:showLegendKey val="0"/>
          <c:showVal val="0"/>
          <c:showCatName val="0"/>
          <c:showSerName val="0"/>
          <c:showPercent val="0"/>
          <c:showBubbleSize val="0"/>
        </c:dLbls>
        <c:marker val="1"/>
        <c:smooth val="0"/>
        <c:axId val="89654784"/>
        <c:axId val="89656704"/>
      </c:lineChart>
      <c:catAx>
        <c:axId val="89654784"/>
        <c:scaling>
          <c:orientation val="minMax"/>
        </c:scaling>
        <c:delete val="0"/>
        <c:axPos val="b"/>
        <c:majorGridlines/>
        <c:title>
          <c:tx>
            <c:rich>
              <a:bodyPr/>
              <a:lstStyle/>
              <a:p>
                <a:pPr>
                  <a:defRPr/>
                </a:pPr>
                <a:r>
                  <a:rPr lang="en-US"/>
                  <a:t>Time</a:t>
                </a:r>
              </a:p>
            </c:rich>
          </c:tx>
          <c:overlay val="0"/>
        </c:title>
        <c:numFmt formatCode="[$-409]h:mm\ AM/PM;@" sourceLinked="1"/>
        <c:majorTickMark val="out"/>
        <c:minorTickMark val="out"/>
        <c:tickLblPos val="nextTo"/>
        <c:txPr>
          <a:bodyPr rot="-5400000" vert="horz"/>
          <a:lstStyle/>
          <a:p>
            <a:pPr>
              <a:defRPr/>
            </a:pPr>
            <a:endParaRPr lang="en-US"/>
          </a:p>
        </c:txPr>
        <c:crossAx val="89656704"/>
        <c:crosses val="autoZero"/>
        <c:auto val="1"/>
        <c:lblAlgn val="ctr"/>
        <c:lblOffset val="100"/>
        <c:tickMarkSkip val="6"/>
        <c:noMultiLvlLbl val="0"/>
      </c:catAx>
      <c:valAx>
        <c:axId val="89656704"/>
        <c:scaling>
          <c:orientation val="minMax"/>
        </c:scaling>
        <c:delete val="0"/>
        <c:axPos val="l"/>
        <c:majorGridlines/>
        <c:title>
          <c:tx>
            <c:rich>
              <a:bodyPr rot="-5400000" vert="horz"/>
              <a:lstStyle/>
              <a:p>
                <a:pPr>
                  <a:defRPr/>
                </a:pPr>
                <a:r>
                  <a:rPr lang="en-US"/>
                  <a:t>Traffic</a:t>
                </a:r>
                <a:r>
                  <a:rPr lang="en-US" baseline="0"/>
                  <a:t> Hourly Volume (veh/hr)</a:t>
                </a:r>
                <a:endParaRPr lang="en-US"/>
              </a:p>
            </c:rich>
          </c:tx>
          <c:overlay val="0"/>
        </c:title>
        <c:numFmt formatCode="#,##0" sourceLinked="0"/>
        <c:majorTickMark val="out"/>
        <c:minorTickMark val="none"/>
        <c:tickLblPos val="nextTo"/>
        <c:crossAx val="89654784"/>
        <c:crosses val="autoZero"/>
        <c:crossBetween val="midCat"/>
      </c:valAx>
    </c:plotArea>
    <c:legend>
      <c:legendPos val="b"/>
      <c:legendEntry>
        <c:idx val="0"/>
        <c:txPr>
          <a:bodyPr/>
          <a:lstStyle/>
          <a:p>
            <a:pPr>
              <a:defRPr sz="800" baseline="0"/>
            </a:pPr>
            <a:endParaRPr lang="en-US"/>
          </a:p>
        </c:txPr>
      </c:legendEntry>
      <c:legendEntry>
        <c:idx val="1"/>
        <c:txPr>
          <a:bodyPr/>
          <a:lstStyle/>
          <a:p>
            <a:pPr>
              <a:defRPr sz="800"/>
            </a:pPr>
            <a:endParaRPr lang="en-US"/>
          </a:p>
        </c:txPr>
      </c:legendEntry>
      <c:legendEntry>
        <c:idx val="2"/>
        <c:txPr>
          <a:bodyPr/>
          <a:lstStyle/>
          <a:p>
            <a:pPr>
              <a:defRPr sz="800"/>
            </a:pPr>
            <a:endParaRPr lang="en-US"/>
          </a:p>
        </c:txPr>
      </c:legendEntry>
      <c:legendEntry>
        <c:idx val="3"/>
        <c:txPr>
          <a:bodyPr/>
          <a:lstStyle/>
          <a:p>
            <a:pPr>
              <a:defRPr sz="800"/>
            </a:pPr>
            <a:endParaRPr lang="en-US"/>
          </a:p>
        </c:txPr>
      </c:legendEntry>
      <c:legendEntry>
        <c:idx val="4"/>
        <c:txPr>
          <a:bodyPr/>
          <a:lstStyle/>
          <a:p>
            <a:pPr>
              <a:defRPr sz="800"/>
            </a:pPr>
            <a:endParaRPr lang="en-US"/>
          </a:p>
        </c:txPr>
      </c:legendEntry>
      <c:legendEntry>
        <c:idx val="5"/>
        <c:txPr>
          <a:bodyPr/>
          <a:lstStyle/>
          <a:p>
            <a:pPr>
              <a:defRPr sz="800"/>
            </a:pPr>
            <a:endParaRPr lang="en-US"/>
          </a:p>
        </c:txPr>
      </c:legendEntry>
      <c:legendEntry>
        <c:idx val="6"/>
        <c:txPr>
          <a:bodyPr/>
          <a:lstStyle/>
          <a:p>
            <a:pPr>
              <a:defRPr sz="800"/>
            </a:pPr>
            <a:endParaRPr lang="en-US"/>
          </a:p>
        </c:txPr>
      </c:legendEntry>
      <c:layout>
        <c:manualLayout>
          <c:xMode val="edge"/>
          <c:yMode val="edge"/>
          <c:x val="8.6902832666810991E-3"/>
          <c:y val="0.89629119290690185"/>
          <c:w val="0.97931283522737123"/>
          <c:h val="8.0520394239535692E-2"/>
        </c:manualLayout>
      </c:layout>
      <c:overlay val="0"/>
      <c:spPr>
        <a:solidFill>
          <a:schemeClr val="bg1"/>
        </a:solidFill>
        <a:ln>
          <a:solidFill>
            <a:schemeClr val="tx1"/>
          </a:solidFill>
        </a:ln>
      </c:spPr>
    </c:legend>
    <c:plotVisOnly val="1"/>
    <c:dispBlanksAs val="gap"/>
    <c:showDLblsOverMax val="0"/>
  </c:chart>
  <c:spPr>
    <a:ln w="19050">
      <a:solidFill>
        <a:schemeClr val="tx1"/>
      </a:solidFill>
    </a:ln>
  </c:spPr>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(Worksheet)'!$P$196:$P$219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(Worksheet)'!$AA$196:$AA$219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4629632"/>
        <c:axId val="154631168"/>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(Worksheet)'!$Q$196:$Q$219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(Worksheet)'!$AC$196:$AC$219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4639360"/>
        <c:axId val="154637440"/>
      </c:lineChart>
      <c:catAx>
        <c:axId val="154629632"/>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4631168"/>
        <c:crosses val="autoZero"/>
        <c:auto val="1"/>
        <c:lblAlgn val="ctr"/>
        <c:lblOffset val="100"/>
        <c:tickLblSkip val="1"/>
        <c:tickMarkSkip val="1"/>
        <c:noMultiLvlLbl val="0"/>
      </c:catAx>
      <c:valAx>
        <c:axId val="154631168"/>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4629632"/>
        <c:crosses val="autoZero"/>
        <c:crossBetween val="between"/>
      </c:valAx>
      <c:valAx>
        <c:axId val="154637440"/>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4639360"/>
        <c:crosses val="max"/>
        <c:crossBetween val="between"/>
      </c:valAx>
      <c:catAx>
        <c:axId val="154639360"/>
        <c:scaling>
          <c:orientation val="minMax"/>
        </c:scaling>
        <c:delete val="1"/>
        <c:axPos val="b"/>
        <c:majorTickMark val="out"/>
        <c:minorTickMark val="none"/>
        <c:tickLblPos val="nextTo"/>
        <c:crossAx val="154637440"/>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Queue Length by Weekday and Work Type</a:t>
            </a:r>
          </a:p>
        </c:rich>
      </c:tx>
      <c:overlay val="0"/>
    </c:title>
    <c:autoTitleDeleted val="0"/>
    <c:plotArea>
      <c:layout/>
      <c:lineChart>
        <c:grouping val="standard"/>
        <c:varyColors val="0"/>
        <c:ser>
          <c:idx val="0"/>
          <c:order val="0"/>
          <c:tx>
            <c:strRef>
              <c:f>'Step 4 - Synopsis Sheet'!$A$3</c:f>
              <c:strCache>
                <c:ptCount val="1"/>
                <c:pt idx="0">
                  <c:v>Sunday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(Worksheet)'!$W$22:$W$45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strRef>
              <c:f>'Step 4 - Synopsis Sheet'!$A$10</c:f>
              <c:strCache>
                <c:ptCount val="1"/>
                <c:pt idx="0">
                  <c:v>Monday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(Worksheet)'!$W$51:$W$74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strRef>
              <c:f>'Step 4 - Synopsis Sheet'!$A$17</c:f>
              <c:strCache>
                <c:ptCount val="1"/>
                <c:pt idx="0">
                  <c:v>Tuesday () No Work Zone</c:v>
                </c:pt>
              </c:strCache>
            </c:strRef>
          </c:tx>
          <c:val>
            <c:numRef>
              <c:f>'WZ Analysis (Worksheet)'!$W$80:$W$103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'Step 4 - Synopsis Sheet'!$A$24</c:f>
              <c:strCache>
                <c:ptCount val="1"/>
                <c:pt idx="0">
                  <c:v>Wednesday () No Work Zone</c:v>
                </c:pt>
              </c:strCache>
            </c:strRef>
          </c:tx>
          <c:val>
            <c:numRef>
              <c:f>'WZ Analysis (Worksheet)'!$W$109:$W$132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strRef>
              <c:f>'Step 4 - Synopsis Sheet'!$A$31</c:f>
              <c:strCache>
                <c:ptCount val="1"/>
                <c:pt idx="0">
                  <c:v>Thursday () No Work Zone</c:v>
                </c:pt>
              </c:strCache>
            </c:strRef>
          </c:tx>
          <c:val>
            <c:numRef>
              <c:f>'WZ Analysis (Worksheet)'!$W$138:$W$161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5"/>
          <c:order val="5"/>
          <c:tx>
            <c:strRef>
              <c:f>'Step 4 - Synopsis Sheet'!$A$38</c:f>
              <c:strCache>
                <c:ptCount val="1"/>
                <c:pt idx="0">
                  <c:v>Friday () No Work Zone</c:v>
                </c:pt>
              </c:strCache>
            </c:strRef>
          </c:tx>
          <c:val>
            <c:numRef>
              <c:f>'WZ Analysis (Worksheet)'!$W$167:$W$190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6"/>
          <c:order val="6"/>
          <c:tx>
            <c:strRef>
              <c:f>'Step 4 - Synopsis Sheet'!$A$45</c:f>
              <c:strCache>
                <c:ptCount val="1"/>
                <c:pt idx="0">
                  <c:v>Saturday () No Work Zone</c:v>
                </c:pt>
              </c:strCache>
            </c:strRef>
          </c:tx>
          <c:val>
            <c:numRef>
              <c:f>'WZ Analysis (Worksheet)'!$W$196:$W$219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74277760"/>
        <c:axId val="174279296"/>
      </c:lineChart>
      <c:catAx>
        <c:axId val="174277760"/>
        <c:scaling>
          <c:orientation val="minMax"/>
        </c:scaling>
        <c:delete val="0"/>
        <c:axPos val="b"/>
        <c:numFmt formatCode="[$-409]h:mm\ AM/PM;@" sourceLinked="1"/>
        <c:majorTickMark val="none"/>
        <c:minorTickMark val="none"/>
        <c:tickLblPos val="nextTo"/>
        <c:spPr>
          <a:ln>
            <a:solidFill>
              <a:srgbClr val="000000"/>
            </a:solidFill>
          </a:ln>
        </c:spPr>
        <c:txPr>
          <a:bodyPr rot="5400000" vert="horz"/>
          <a:lstStyle/>
          <a:p>
            <a:pPr>
              <a:defRPr/>
            </a:pPr>
            <a:endParaRPr lang="en-US"/>
          </a:p>
        </c:txPr>
        <c:crossAx val="174279296"/>
        <c:crosses val="autoZero"/>
        <c:auto val="1"/>
        <c:lblAlgn val="ctr"/>
        <c:lblOffset val="100"/>
        <c:tickLblSkip val="1"/>
        <c:tickMarkSkip val="1"/>
        <c:noMultiLvlLbl val="0"/>
      </c:catAx>
      <c:valAx>
        <c:axId val="174279296"/>
        <c:scaling>
          <c:orientation val="minMax"/>
        </c:scaling>
        <c:delete val="0"/>
        <c:axPos val="l"/>
        <c:majorGridlines/>
        <c:title>
          <c:tx>
            <c:rich>
              <a:bodyPr/>
              <a:lstStyle/>
              <a:p>
                <a:pPr>
                  <a:defRPr/>
                </a:pPr>
                <a:r>
                  <a:rPr lang="en-US"/>
                  <a:t>TOTAL QUEUE LENGTH (MILES)</a:t>
                </a:r>
              </a:p>
            </c:rich>
          </c:tx>
          <c:overlay val="0"/>
        </c:title>
        <c:numFmt formatCode="0.0" sourceLinked="0"/>
        <c:majorTickMark val="none"/>
        <c:minorTickMark val="none"/>
        <c:tickLblPos val="nextTo"/>
        <c:spPr>
          <a:ln>
            <a:solidFill>
              <a:srgbClr val="000000"/>
            </a:solidFill>
          </a:ln>
        </c:spPr>
        <c:txPr>
          <a:bodyPr rot="0" vert="horz"/>
          <a:lstStyle/>
          <a:p>
            <a:pPr>
              <a:defRPr/>
            </a:pPr>
            <a:endParaRPr lang="en-US"/>
          </a:p>
        </c:txPr>
        <c:crossAx val="174277760"/>
        <c:crosses val="autoZero"/>
        <c:crossBetween val="midCat"/>
      </c:valAx>
      <c:spPr>
        <a:ln>
          <a:solidFill>
            <a:srgbClr val="000000"/>
          </a:solidFill>
        </a:ln>
      </c:spPr>
    </c:plotArea>
    <c:legend>
      <c:legendPos val="r"/>
      <c:overlay val="0"/>
      <c:spPr>
        <a:ln>
          <a:solidFill>
            <a:srgbClr val="000000"/>
          </a:solidFill>
        </a:ln>
      </c:spPr>
    </c:legend>
    <c:plotVisOnly val="1"/>
    <c:dispBlanksAs val="gap"/>
    <c:showDLblsOverMax val="0"/>
  </c:chart>
  <c:printSettings>
    <c:headerFooter alignWithMargins="0"/>
    <c:pageMargins b="1" l="0.75" r="0.7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Delay by Weekday and Work Type</a:t>
            </a:r>
          </a:p>
        </c:rich>
      </c:tx>
      <c:overlay val="0"/>
    </c:title>
    <c:autoTitleDeleted val="0"/>
    <c:plotArea>
      <c:layout/>
      <c:lineChart>
        <c:grouping val="standard"/>
        <c:varyColors val="0"/>
        <c:ser>
          <c:idx val="0"/>
          <c:order val="0"/>
          <c:tx>
            <c:strRef>
              <c:f>'Step 4 - Synopsis Sheet'!$A$3</c:f>
              <c:strCache>
                <c:ptCount val="1"/>
                <c:pt idx="0">
                  <c:v>Sunday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(Worksheet)'!$X$22:$X$45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strRef>
              <c:f>'Step 4 - Synopsis Sheet'!$A$10</c:f>
              <c:strCache>
                <c:ptCount val="1"/>
                <c:pt idx="0">
                  <c:v>Monday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(Worksheet)'!$X$51:$X$74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strRef>
              <c:f>'Step 4 - Synopsis Sheet'!$A$17</c:f>
              <c:strCache>
                <c:ptCount val="1"/>
                <c:pt idx="0">
                  <c:v>Tuesday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(Worksheet)'!$X$80:$X$103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'Step 4 - Synopsis Sheet'!$A$24</c:f>
              <c:strCache>
                <c:ptCount val="1"/>
                <c:pt idx="0">
                  <c:v>Wednesday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(Worksheet)'!$X$109:$X$132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strRef>
              <c:f>'Step 4 - Synopsis Sheet'!$A$31</c:f>
              <c:strCache>
                <c:ptCount val="1"/>
                <c:pt idx="0">
                  <c:v>Thursday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(Worksheet)'!$X$138:$X$161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5"/>
          <c:order val="5"/>
          <c:tx>
            <c:strRef>
              <c:f>'Step 4 - Synopsis Sheet'!$A$38</c:f>
              <c:strCache>
                <c:ptCount val="1"/>
                <c:pt idx="0">
                  <c:v>Friday () No Work Zone</c:v>
                </c:pt>
              </c:strCache>
            </c:strRef>
          </c:tx>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(Worksheet)'!$X$167:$X$190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6"/>
          <c:order val="6"/>
          <c:tx>
            <c:strRef>
              <c:f>'Step 4 - Synopsis Sheet'!$A$45</c:f>
              <c:strCache>
                <c:ptCount val="1"/>
                <c:pt idx="0">
                  <c:v>Saturday () No Work Zone</c:v>
                </c:pt>
              </c:strCache>
            </c:strRef>
          </c:tx>
          <c:val>
            <c:numRef>
              <c:f>'WZ Analysis (Worksheet)'!$X$196:$X$219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74347776"/>
        <c:axId val="174349312"/>
      </c:lineChart>
      <c:catAx>
        <c:axId val="174347776"/>
        <c:scaling>
          <c:orientation val="minMax"/>
        </c:scaling>
        <c:delete val="0"/>
        <c:axPos val="b"/>
        <c:numFmt formatCode="[$-409]h:mm\ AM/PM;@" sourceLinked="1"/>
        <c:majorTickMark val="none"/>
        <c:minorTickMark val="none"/>
        <c:tickLblPos val="nextTo"/>
        <c:spPr>
          <a:ln>
            <a:solidFill>
              <a:srgbClr val="000000"/>
            </a:solidFill>
          </a:ln>
        </c:spPr>
        <c:txPr>
          <a:bodyPr rot="5400000" vert="horz"/>
          <a:lstStyle/>
          <a:p>
            <a:pPr>
              <a:defRPr/>
            </a:pPr>
            <a:endParaRPr lang="en-US"/>
          </a:p>
        </c:txPr>
        <c:crossAx val="174349312"/>
        <c:crosses val="autoZero"/>
        <c:auto val="1"/>
        <c:lblAlgn val="ctr"/>
        <c:lblOffset val="100"/>
        <c:tickLblSkip val="1"/>
        <c:tickMarkSkip val="1"/>
        <c:noMultiLvlLbl val="0"/>
      </c:catAx>
      <c:valAx>
        <c:axId val="174349312"/>
        <c:scaling>
          <c:orientation val="minMax"/>
        </c:scaling>
        <c:delete val="0"/>
        <c:axPos val="l"/>
        <c:majorGridlines/>
        <c:title>
          <c:tx>
            <c:rich>
              <a:bodyPr/>
              <a:lstStyle/>
              <a:p>
                <a:pPr>
                  <a:defRPr/>
                </a:pPr>
                <a:r>
                  <a:rPr lang="en-US"/>
                  <a:t>DELAY (MIN)</a:t>
                </a:r>
              </a:p>
            </c:rich>
          </c:tx>
          <c:overlay val="0"/>
        </c:title>
        <c:numFmt formatCode="0" sourceLinked="0"/>
        <c:majorTickMark val="none"/>
        <c:minorTickMark val="none"/>
        <c:tickLblPos val="nextTo"/>
        <c:spPr>
          <a:ln>
            <a:solidFill>
              <a:srgbClr val="000000"/>
            </a:solidFill>
          </a:ln>
        </c:spPr>
        <c:txPr>
          <a:bodyPr rot="0" vert="horz"/>
          <a:lstStyle/>
          <a:p>
            <a:pPr>
              <a:defRPr/>
            </a:pPr>
            <a:endParaRPr lang="en-US"/>
          </a:p>
        </c:txPr>
        <c:crossAx val="174347776"/>
        <c:crosses val="autoZero"/>
        <c:crossBetween val="midCat"/>
      </c:valAx>
      <c:spPr>
        <a:ln>
          <a:solidFill>
            <a:srgbClr val="000000"/>
          </a:solidFill>
        </a:ln>
      </c:spPr>
    </c:plotArea>
    <c:legend>
      <c:legendPos val="r"/>
      <c:overlay val="0"/>
      <c:spPr>
        <a:ln>
          <a:solidFill>
            <a:srgbClr val="000000"/>
          </a:solidFill>
        </a:ln>
      </c:spPr>
    </c:legend>
    <c:plotVisOnly val="1"/>
    <c:dispBlanksAs val="gap"/>
    <c:showDLblsOverMax val="0"/>
  </c:chart>
  <c:printSettings>
    <c:headerFooter alignWithMargins="0"/>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185959382848"/>
          <c:y val="5.8441681973928683E-2"/>
          <c:w val="0.79452053440505599"/>
          <c:h val="0.83662597014082918"/>
        </c:manualLayout>
      </c:layout>
      <c:lineChart>
        <c:grouping val="standard"/>
        <c:varyColors val="0"/>
        <c:ser>
          <c:idx val="0"/>
          <c:order val="0"/>
          <c:tx>
            <c:v>MON</c:v>
          </c:tx>
          <c:spPr>
            <a:ln w="12700">
              <a:solidFill>
                <a:srgbClr val="000080"/>
              </a:solidFill>
              <a:prstDash val="solid"/>
            </a:ln>
          </c:spPr>
          <c:marker>
            <c:symbol val="diamond"/>
            <c:size val="5"/>
            <c:spPr>
              <a:solidFill>
                <a:srgbClr val="000080"/>
              </a:solidFill>
              <a:ln>
                <a:solidFill>
                  <a:srgbClr val="000080"/>
                </a:solidFill>
                <a:prstDash val="solid"/>
              </a:ln>
            </c:spPr>
          </c:marker>
          <c:val>
            <c:numRef>
              <c:f>'WZ Analysis (Worksheet)'!$X$22:$X$45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v>TUE</c:v>
          </c:tx>
          <c:spPr>
            <a:ln w="12700">
              <a:solidFill>
                <a:srgbClr val="FF00FF"/>
              </a:solidFill>
              <a:prstDash val="solid"/>
            </a:ln>
          </c:spPr>
          <c:marker>
            <c:symbol val="square"/>
            <c:size val="5"/>
            <c:spPr>
              <a:solidFill>
                <a:srgbClr val="FF00FF"/>
              </a:solidFill>
              <a:ln>
                <a:solidFill>
                  <a:srgbClr val="FF00FF"/>
                </a:solidFill>
                <a:prstDash val="solid"/>
              </a:ln>
            </c:spPr>
          </c:marker>
          <c:val>
            <c:numRef>
              <c:f>'WZ Analysis (Worksheet)'!$X$51:$X$74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v>WED</c:v>
          </c:tx>
          <c:spPr>
            <a:ln w="12700">
              <a:solidFill>
                <a:srgbClr val="FFFF00"/>
              </a:solidFill>
              <a:prstDash val="solid"/>
            </a:ln>
          </c:spPr>
          <c:marker>
            <c:symbol val="triangle"/>
            <c:size val="5"/>
            <c:spPr>
              <a:solidFill>
                <a:srgbClr val="FFFF00"/>
              </a:solidFill>
              <a:ln>
                <a:solidFill>
                  <a:srgbClr val="FFFF00"/>
                </a:solidFill>
                <a:prstDash val="solid"/>
              </a:ln>
            </c:spPr>
          </c:marker>
          <c:val>
            <c:numRef>
              <c:f>'WZ Analysis (Worksheet)'!$X$80:$X$103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v>THU</c:v>
          </c:tx>
          <c:spPr>
            <a:ln w="12700">
              <a:solidFill>
                <a:srgbClr val="00FFFF"/>
              </a:solidFill>
              <a:prstDash val="solid"/>
            </a:ln>
          </c:spPr>
          <c:marker>
            <c:symbol val="x"/>
            <c:size val="5"/>
            <c:spPr>
              <a:noFill/>
              <a:ln>
                <a:solidFill>
                  <a:srgbClr val="00FFFF"/>
                </a:solidFill>
                <a:prstDash val="solid"/>
              </a:ln>
            </c:spPr>
          </c:marker>
          <c:val>
            <c:numRef>
              <c:f>'WZ Analysis (Worksheet)'!$X$109:$X$132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v>FRI</c:v>
          </c:tx>
          <c:spPr>
            <a:ln w="12700">
              <a:solidFill>
                <a:srgbClr val="800080"/>
              </a:solidFill>
              <a:prstDash val="solid"/>
            </a:ln>
          </c:spPr>
          <c:marker>
            <c:symbol val="star"/>
            <c:size val="5"/>
            <c:spPr>
              <a:noFill/>
              <a:ln>
                <a:solidFill>
                  <a:srgbClr val="800080"/>
                </a:solidFill>
                <a:prstDash val="solid"/>
              </a:ln>
            </c:spPr>
          </c:marker>
          <c:val>
            <c:numRef>
              <c:f>'WZ Analysis (Worksheet)'!#REF!</c:f>
              <c:numCache>
                <c:formatCode>General</c:formatCode>
                <c:ptCount val="1"/>
                <c:pt idx="0">
                  <c:v>1</c:v>
                </c:pt>
              </c:numCache>
            </c:numRef>
          </c:val>
          <c:smooth val="0"/>
        </c:ser>
        <c:ser>
          <c:idx val="5"/>
          <c:order val="5"/>
          <c:tx>
            <c:v>SAT</c:v>
          </c:tx>
          <c:spPr>
            <a:ln w="12700">
              <a:solidFill>
                <a:srgbClr val="800000"/>
              </a:solidFill>
              <a:prstDash val="solid"/>
            </a:ln>
          </c:spPr>
          <c:marker>
            <c:symbol val="circle"/>
            <c:size val="5"/>
            <c:spPr>
              <a:solidFill>
                <a:srgbClr val="800000"/>
              </a:solidFill>
              <a:ln>
                <a:solidFill>
                  <a:srgbClr val="800000"/>
                </a:solidFill>
                <a:prstDash val="solid"/>
              </a:ln>
            </c:spPr>
          </c:marker>
          <c:val>
            <c:numRef>
              <c:f>'WZ Analysis (Worksheet)'!#REF!</c:f>
              <c:numCache>
                <c:formatCode>General</c:formatCode>
                <c:ptCount val="1"/>
                <c:pt idx="0">
                  <c:v>1</c:v>
                </c:pt>
              </c:numCache>
            </c:numRef>
          </c:val>
          <c:smooth val="0"/>
        </c:ser>
        <c:ser>
          <c:idx val="6"/>
          <c:order val="6"/>
          <c:tx>
            <c:v>SUN</c:v>
          </c:tx>
          <c:spPr>
            <a:ln w="12700">
              <a:solidFill>
                <a:srgbClr val="008080"/>
              </a:solidFill>
              <a:prstDash val="solid"/>
            </a:ln>
          </c:spPr>
          <c:marker>
            <c:symbol val="plus"/>
            <c:size val="5"/>
            <c:spPr>
              <a:noFill/>
              <a:ln>
                <a:solidFill>
                  <a:srgbClr val="008080"/>
                </a:solidFill>
                <a:prstDash val="solid"/>
              </a:ln>
            </c:spPr>
          </c:marker>
          <c:val>
            <c:numRef>
              <c:f>'WZ Analysis (Worksheet)'!#REF!</c:f>
              <c:numCache>
                <c:formatCode>General</c:formatCode>
                <c:ptCount val="1"/>
                <c:pt idx="0">
                  <c:v>1</c:v>
                </c:pt>
              </c:numCache>
            </c:numRef>
          </c:val>
          <c:smooth val="0"/>
        </c:ser>
        <c:dLbls>
          <c:showLegendKey val="0"/>
          <c:showVal val="0"/>
          <c:showCatName val="0"/>
          <c:showSerName val="0"/>
          <c:showPercent val="0"/>
          <c:showBubbleSize val="0"/>
        </c:dLbls>
        <c:marker val="1"/>
        <c:smooth val="0"/>
        <c:axId val="151915136"/>
        <c:axId val="151925888"/>
      </c:lineChart>
      <c:catAx>
        <c:axId val="151915136"/>
        <c:scaling>
          <c:orientation val="minMax"/>
        </c:scaling>
        <c:delete val="0"/>
        <c:axPos val="b"/>
        <c:title>
          <c:tx>
            <c:rich>
              <a:bodyPr/>
              <a:lstStyle/>
              <a:p>
                <a:pPr>
                  <a:defRPr sz="1050" b="1" i="0" u="none" strike="noStrike" baseline="0">
                    <a:solidFill>
                      <a:srgbClr val="000000"/>
                    </a:solidFill>
                    <a:latin typeface="Arial"/>
                    <a:ea typeface="Arial"/>
                    <a:cs typeface="Arial"/>
                  </a:defRPr>
                </a:pPr>
                <a:r>
                  <a:rPr lang="en-US"/>
                  <a:t>TIME</a:t>
                </a:r>
              </a:p>
            </c:rich>
          </c:tx>
          <c:layout>
            <c:manualLayout>
              <c:xMode val="edge"/>
              <c:yMode val="edge"/>
              <c:x val="0.44901557201027964"/>
              <c:y val="0.952590190932015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51925888"/>
        <c:crosses val="autoZero"/>
        <c:auto val="1"/>
        <c:lblAlgn val="ctr"/>
        <c:lblOffset val="100"/>
        <c:tickLblSkip val="2"/>
        <c:tickMarkSkip val="1"/>
        <c:noMultiLvlLbl val="0"/>
      </c:catAx>
      <c:valAx>
        <c:axId val="151925888"/>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DELAY (MIN)</a:t>
                </a:r>
              </a:p>
            </c:rich>
          </c:tx>
          <c:layout>
            <c:manualLayout>
              <c:xMode val="edge"/>
              <c:yMode val="edge"/>
              <c:x val="2.4922100832775934E-2"/>
              <c:y val="0.3549791570171375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51915136"/>
        <c:crosses val="autoZero"/>
        <c:crossBetween val="between"/>
      </c:valAx>
      <c:spPr>
        <a:solidFill>
          <a:srgbClr val="C0C0C0"/>
        </a:solidFill>
        <a:ln w="12700">
          <a:solidFill>
            <a:srgbClr val="808080"/>
          </a:solidFill>
          <a:prstDash val="solid"/>
        </a:ln>
      </c:spPr>
    </c:plotArea>
    <c:legend>
      <c:legendPos val="r"/>
      <c:layout>
        <c:manualLayout>
          <c:xMode val="edge"/>
          <c:yMode val="edge"/>
          <c:x val="0.72578241430700452"/>
          <c:y val="0.25490237249755543"/>
          <c:w val="0.12667660208643816"/>
          <c:h val="0.33725551953064692"/>
        </c:manualLayout>
      </c:layout>
      <c:overlay val="0"/>
      <c:spPr>
        <a:solidFill>
          <a:srgbClr val="FFFFFF"/>
        </a:solidFill>
        <a:ln w="3175">
          <a:solidFill>
            <a:srgbClr val="000000"/>
          </a:solidFill>
          <a:prstDash val="solid"/>
        </a:ln>
      </c:spPr>
      <c:txPr>
        <a:bodyPr/>
        <a:lstStyle/>
        <a:p>
          <a:pPr>
            <a:defRPr sz="8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93601901166834"/>
          <c:y val="6.3882063882063883E-2"/>
          <c:w val="0.79601489791202806"/>
          <c:h val="0.82793328189176163"/>
        </c:manualLayout>
      </c:layout>
      <c:lineChart>
        <c:grouping val="standard"/>
        <c:varyColors val="0"/>
        <c:ser>
          <c:idx val="0"/>
          <c:order val="0"/>
          <c:tx>
            <c:v>MON</c:v>
          </c:tx>
          <c:spPr>
            <a:ln w="12700">
              <a:solidFill>
                <a:srgbClr val="000080"/>
              </a:solidFill>
              <a:prstDash val="solid"/>
            </a:ln>
          </c:spPr>
          <c:marker>
            <c:symbol val="diamond"/>
            <c:size val="5"/>
            <c:spPr>
              <a:solidFill>
                <a:srgbClr val="000080"/>
              </a:solidFill>
              <a:ln>
                <a:solidFill>
                  <a:srgbClr val="000080"/>
                </a:solidFill>
                <a:prstDash val="solid"/>
              </a:ln>
            </c:spPr>
          </c:marker>
          <c:val>
            <c:numRef>
              <c:f>'WZ Analysis (Worksheet)'!$W$22:$W$45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1"/>
          <c:order val="1"/>
          <c:tx>
            <c:v>TUE</c:v>
          </c:tx>
          <c:spPr>
            <a:ln w="12700">
              <a:solidFill>
                <a:srgbClr val="FF00FF"/>
              </a:solidFill>
              <a:prstDash val="solid"/>
            </a:ln>
          </c:spPr>
          <c:marker>
            <c:symbol val="square"/>
            <c:size val="5"/>
            <c:spPr>
              <a:solidFill>
                <a:srgbClr val="FF00FF"/>
              </a:solidFill>
              <a:ln>
                <a:solidFill>
                  <a:srgbClr val="FF00FF"/>
                </a:solidFill>
                <a:prstDash val="solid"/>
              </a:ln>
            </c:spPr>
          </c:marker>
          <c:val>
            <c:numRef>
              <c:f>'WZ Analysis (Worksheet)'!$W$51:$W$74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2"/>
          <c:order val="2"/>
          <c:tx>
            <c:v>WED</c:v>
          </c:tx>
          <c:spPr>
            <a:ln w="12700">
              <a:solidFill>
                <a:srgbClr val="FFFF00"/>
              </a:solidFill>
              <a:prstDash val="solid"/>
            </a:ln>
          </c:spPr>
          <c:marker>
            <c:symbol val="triangle"/>
            <c:size val="5"/>
            <c:spPr>
              <a:solidFill>
                <a:srgbClr val="FFFF00"/>
              </a:solidFill>
              <a:ln>
                <a:solidFill>
                  <a:srgbClr val="FFFF00"/>
                </a:solidFill>
                <a:prstDash val="solid"/>
              </a:ln>
            </c:spPr>
          </c:marker>
          <c:val>
            <c:numRef>
              <c:f>'WZ Analysis (Worksheet)'!$W$80:$W$103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v>THU</c:v>
          </c:tx>
          <c:spPr>
            <a:ln w="12700">
              <a:solidFill>
                <a:srgbClr val="00FFFF"/>
              </a:solidFill>
              <a:prstDash val="solid"/>
            </a:ln>
          </c:spPr>
          <c:marker>
            <c:symbol val="x"/>
            <c:size val="5"/>
            <c:spPr>
              <a:noFill/>
              <a:ln>
                <a:solidFill>
                  <a:srgbClr val="00FFFF"/>
                </a:solidFill>
                <a:prstDash val="solid"/>
              </a:ln>
            </c:spPr>
          </c:marker>
          <c:val>
            <c:numRef>
              <c:f>'WZ Analysis (Worksheet)'!$W$109:$W$132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4"/>
          <c:order val="4"/>
          <c:tx>
            <c:v>FRI</c:v>
          </c:tx>
          <c:spPr>
            <a:ln w="12700">
              <a:solidFill>
                <a:srgbClr val="800080"/>
              </a:solidFill>
              <a:prstDash val="solid"/>
            </a:ln>
          </c:spPr>
          <c:marker>
            <c:symbol val="star"/>
            <c:size val="5"/>
            <c:spPr>
              <a:noFill/>
              <a:ln>
                <a:solidFill>
                  <a:srgbClr val="800080"/>
                </a:solidFill>
                <a:prstDash val="solid"/>
              </a:ln>
            </c:spPr>
          </c:marker>
          <c:val>
            <c:numRef>
              <c:f>'WZ Analysis (Worksheet)'!#REF!</c:f>
              <c:numCache>
                <c:formatCode>General</c:formatCode>
                <c:ptCount val="1"/>
                <c:pt idx="0">
                  <c:v>1</c:v>
                </c:pt>
              </c:numCache>
            </c:numRef>
          </c:val>
          <c:smooth val="0"/>
        </c:ser>
        <c:ser>
          <c:idx val="5"/>
          <c:order val="5"/>
          <c:tx>
            <c:v>SAT</c:v>
          </c:tx>
          <c:spPr>
            <a:ln w="12700">
              <a:solidFill>
                <a:srgbClr val="800000"/>
              </a:solidFill>
              <a:prstDash val="solid"/>
            </a:ln>
          </c:spPr>
          <c:marker>
            <c:symbol val="circle"/>
            <c:size val="5"/>
            <c:spPr>
              <a:solidFill>
                <a:srgbClr val="800000"/>
              </a:solidFill>
              <a:ln>
                <a:solidFill>
                  <a:srgbClr val="800000"/>
                </a:solidFill>
                <a:prstDash val="solid"/>
              </a:ln>
            </c:spPr>
          </c:marker>
          <c:val>
            <c:numRef>
              <c:f>'WZ Analysis (Worksheet)'!#REF!</c:f>
              <c:numCache>
                <c:formatCode>General</c:formatCode>
                <c:ptCount val="1"/>
                <c:pt idx="0">
                  <c:v>1</c:v>
                </c:pt>
              </c:numCache>
            </c:numRef>
          </c:val>
          <c:smooth val="0"/>
        </c:ser>
        <c:ser>
          <c:idx val="6"/>
          <c:order val="6"/>
          <c:tx>
            <c:v>SUN</c:v>
          </c:tx>
          <c:spPr>
            <a:ln w="12700">
              <a:solidFill>
                <a:srgbClr val="008080"/>
              </a:solidFill>
              <a:prstDash val="solid"/>
            </a:ln>
          </c:spPr>
          <c:marker>
            <c:symbol val="plus"/>
            <c:size val="5"/>
            <c:spPr>
              <a:noFill/>
              <a:ln>
                <a:solidFill>
                  <a:srgbClr val="008080"/>
                </a:solidFill>
                <a:prstDash val="solid"/>
              </a:ln>
            </c:spPr>
          </c:marker>
          <c:val>
            <c:numRef>
              <c:f>'WZ Analysis (Worksheet)'!#REF!</c:f>
              <c:numCache>
                <c:formatCode>General</c:formatCode>
                <c:ptCount val="1"/>
                <c:pt idx="0">
                  <c:v>1</c:v>
                </c:pt>
              </c:numCache>
            </c:numRef>
          </c:val>
          <c:smooth val="0"/>
        </c:ser>
        <c:dLbls>
          <c:showLegendKey val="0"/>
          <c:showVal val="0"/>
          <c:showCatName val="0"/>
          <c:showSerName val="0"/>
          <c:showPercent val="0"/>
          <c:showBubbleSize val="0"/>
        </c:dLbls>
        <c:marker val="1"/>
        <c:smooth val="0"/>
        <c:axId val="151959040"/>
        <c:axId val="151977984"/>
      </c:lineChart>
      <c:catAx>
        <c:axId val="1519590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TIME</a:t>
                </a:r>
              </a:p>
            </c:rich>
          </c:tx>
          <c:layout>
            <c:manualLayout>
              <c:xMode val="edge"/>
              <c:yMode val="edge"/>
              <c:x val="0.41900944804351448"/>
              <c:y val="0.953239540709585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1977984"/>
        <c:crosses val="autoZero"/>
        <c:auto val="1"/>
        <c:lblAlgn val="ctr"/>
        <c:lblOffset val="100"/>
        <c:tickLblSkip val="2"/>
        <c:tickMarkSkip val="1"/>
        <c:noMultiLvlLbl val="0"/>
      </c:catAx>
      <c:valAx>
        <c:axId val="1519779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QUEUE LENGTH (MILES)</a:t>
                </a:r>
              </a:p>
            </c:rich>
          </c:tx>
          <c:layout>
            <c:manualLayout>
              <c:xMode val="edge"/>
              <c:yMode val="edge"/>
              <c:x val="2.5039137463799297E-2"/>
              <c:y val="0.255528276356759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1959040"/>
        <c:crosses val="autoZero"/>
        <c:crossBetween val="between"/>
      </c:valAx>
      <c:spPr>
        <a:solidFill>
          <a:srgbClr val="C0C0C0"/>
        </a:solidFill>
        <a:ln w="12700">
          <a:solidFill>
            <a:srgbClr val="808080"/>
          </a:solidFill>
          <a:prstDash val="solid"/>
        </a:ln>
      </c:spPr>
    </c:plotArea>
    <c:legend>
      <c:legendPos val="r"/>
      <c:layout>
        <c:manualLayout>
          <c:xMode val="edge"/>
          <c:yMode val="edge"/>
          <c:x val="0.73559822747415071"/>
          <c:y val="0.22981409932454094"/>
          <c:w val="0.11669128508124071"/>
          <c:h val="0.364389886046852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(Worksheet)'!$P$22:$P$45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(Worksheet)'!$AA$22:$AA$45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2274048"/>
        <c:axId val="152275584"/>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(Worksheet)'!$Q$22:$Q$45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(Worksheet)'!$AC$22:$AC$45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2279680"/>
        <c:axId val="152277760"/>
      </c:lineChart>
      <c:catAx>
        <c:axId val="152274048"/>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2275584"/>
        <c:crosses val="autoZero"/>
        <c:auto val="1"/>
        <c:lblAlgn val="ctr"/>
        <c:lblOffset val="100"/>
        <c:tickLblSkip val="1"/>
        <c:tickMarkSkip val="1"/>
        <c:noMultiLvlLbl val="0"/>
      </c:catAx>
      <c:valAx>
        <c:axId val="152275584"/>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2274048"/>
        <c:crosses val="autoZero"/>
        <c:crossBetween val="between"/>
      </c:valAx>
      <c:valAx>
        <c:axId val="152277760"/>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2279680"/>
        <c:crosses val="max"/>
        <c:crossBetween val="between"/>
      </c:valAx>
      <c:catAx>
        <c:axId val="152279680"/>
        <c:scaling>
          <c:orientation val="minMax"/>
        </c:scaling>
        <c:delete val="1"/>
        <c:axPos val="b"/>
        <c:majorTickMark val="out"/>
        <c:minorTickMark val="none"/>
        <c:tickLblPos val="nextTo"/>
        <c:crossAx val="152277760"/>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(Worksheet)'!$P$51:$P$74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(Worksheet)'!$AA$51:$AA$74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2115840"/>
        <c:axId val="152134016"/>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(Worksheet)'!$Q$51:$Q$74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(Worksheet)'!$AC$51:$AC$74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2138112"/>
        <c:axId val="152135936"/>
      </c:lineChart>
      <c:catAx>
        <c:axId val="152115840"/>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2134016"/>
        <c:crosses val="autoZero"/>
        <c:auto val="1"/>
        <c:lblAlgn val="ctr"/>
        <c:lblOffset val="100"/>
        <c:tickLblSkip val="1"/>
        <c:tickMarkSkip val="1"/>
        <c:noMultiLvlLbl val="0"/>
      </c:catAx>
      <c:valAx>
        <c:axId val="152134016"/>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2115840"/>
        <c:crosses val="autoZero"/>
        <c:crossBetween val="between"/>
      </c:valAx>
      <c:valAx>
        <c:axId val="152135936"/>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2138112"/>
        <c:crosses val="max"/>
        <c:crossBetween val="between"/>
      </c:valAx>
      <c:catAx>
        <c:axId val="152138112"/>
        <c:scaling>
          <c:orientation val="minMax"/>
        </c:scaling>
        <c:delete val="1"/>
        <c:axPos val="b"/>
        <c:majorTickMark val="out"/>
        <c:minorTickMark val="none"/>
        <c:tickLblPos val="nextTo"/>
        <c:crossAx val="152135936"/>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(Worksheet)'!$P$80:$P$103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(Worksheet)'!$AA$80:$AA$103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2305664"/>
        <c:axId val="152307200"/>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(Worksheet)'!$Q$80:$Q$103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(Worksheet)'!$AC$80:$AC$103</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2315392"/>
        <c:axId val="152309120"/>
      </c:lineChart>
      <c:catAx>
        <c:axId val="152305664"/>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2307200"/>
        <c:crosses val="autoZero"/>
        <c:auto val="1"/>
        <c:lblAlgn val="ctr"/>
        <c:lblOffset val="100"/>
        <c:tickLblSkip val="1"/>
        <c:tickMarkSkip val="1"/>
        <c:noMultiLvlLbl val="0"/>
      </c:catAx>
      <c:valAx>
        <c:axId val="152307200"/>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2305664"/>
        <c:crosses val="autoZero"/>
        <c:crossBetween val="between"/>
      </c:valAx>
      <c:valAx>
        <c:axId val="152309120"/>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2315392"/>
        <c:crosses val="max"/>
        <c:crossBetween val="between"/>
      </c:valAx>
      <c:catAx>
        <c:axId val="152315392"/>
        <c:scaling>
          <c:orientation val="minMax"/>
        </c:scaling>
        <c:delete val="1"/>
        <c:axPos val="b"/>
        <c:majorTickMark val="out"/>
        <c:minorTickMark val="none"/>
        <c:tickLblPos val="nextTo"/>
        <c:crossAx val="152309120"/>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(Worksheet)'!$P$109:$P$132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(Worksheet)'!$AA$109:$AA$132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2438272"/>
        <c:axId val="152439808"/>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(Worksheet)'!$Q$109:$Q$132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(Worksheet)'!$AC$109:$AC$132</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2443904"/>
        <c:axId val="152441984"/>
      </c:lineChart>
      <c:catAx>
        <c:axId val="152438272"/>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2439808"/>
        <c:crosses val="autoZero"/>
        <c:auto val="1"/>
        <c:lblAlgn val="ctr"/>
        <c:lblOffset val="100"/>
        <c:tickLblSkip val="1"/>
        <c:tickMarkSkip val="1"/>
        <c:noMultiLvlLbl val="0"/>
      </c:catAx>
      <c:valAx>
        <c:axId val="152439808"/>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2438272"/>
        <c:crosses val="autoZero"/>
        <c:crossBetween val="between"/>
      </c:valAx>
      <c:valAx>
        <c:axId val="152441984"/>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2443904"/>
        <c:crosses val="max"/>
        <c:crossBetween val="between"/>
      </c:valAx>
      <c:catAx>
        <c:axId val="152443904"/>
        <c:scaling>
          <c:orientation val="minMax"/>
        </c:scaling>
        <c:delete val="1"/>
        <c:axPos val="b"/>
        <c:majorTickMark val="out"/>
        <c:minorTickMark val="none"/>
        <c:tickLblPos val="nextTo"/>
        <c:crossAx val="152441984"/>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(Worksheet)'!$P$138:$P$161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(Worksheet)'!$AA$138:$AA$161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2492672"/>
        <c:axId val="152494464"/>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(Worksheet)'!$Q$138:$Q$161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(Worksheet)'!$AC$138:$AC$161</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4468736"/>
        <c:axId val="152496384"/>
      </c:lineChart>
      <c:catAx>
        <c:axId val="152492672"/>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2494464"/>
        <c:crosses val="autoZero"/>
        <c:auto val="1"/>
        <c:lblAlgn val="ctr"/>
        <c:lblOffset val="100"/>
        <c:tickLblSkip val="1"/>
        <c:tickMarkSkip val="1"/>
        <c:noMultiLvlLbl val="0"/>
      </c:catAx>
      <c:valAx>
        <c:axId val="152494464"/>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2492672"/>
        <c:crosses val="autoZero"/>
        <c:crossBetween val="between"/>
      </c:valAx>
      <c:valAx>
        <c:axId val="152496384"/>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4468736"/>
        <c:crosses val="max"/>
        <c:crossBetween val="between"/>
      </c:valAx>
      <c:catAx>
        <c:axId val="154468736"/>
        <c:scaling>
          <c:orientation val="minMax"/>
        </c:scaling>
        <c:delete val="1"/>
        <c:axPos val="b"/>
        <c:majorTickMark val="out"/>
        <c:minorTickMark val="none"/>
        <c:tickLblPos val="nextTo"/>
        <c:crossAx val="152496384"/>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Expected Work Zone Operations </a:t>
            </a:r>
          </a:p>
        </c:rich>
      </c:tx>
      <c:overlay val="0"/>
    </c:title>
    <c:autoTitleDeleted val="0"/>
    <c:plotArea>
      <c:layout>
        <c:manualLayout>
          <c:layoutTarget val="inner"/>
          <c:xMode val="edge"/>
          <c:yMode val="edge"/>
          <c:x val="0.10639938925237456"/>
          <c:y val="0.10693299120357559"/>
          <c:w val="0.79533626982154104"/>
          <c:h val="0.63276134814791762"/>
        </c:manualLayout>
      </c:layout>
      <c:barChart>
        <c:barDir val="col"/>
        <c:grouping val="stacked"/>
        <c:varyColors val="0"/>
        <c:ser>
          <c:idx val="0"/>
          <c:order val="0"/>
          <c:tx>
            <c:strRef>
              <c:f>'WZ Analysis (Worksheet)'!$P$20</c:f>
              <c:strCache>
                <c:ptCount val="1"/>
                <c:pt idx="0">
                  <c:v>Base Queue</c:v>
                </c:pt>
              </c:strCache>
            </c:strRef>
          </c:tx>
          <c:spPr>
            <a:solidFill>
              <a:srgbClr val="00B0F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(Worksheet)'!$P$167:$P$190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'WZ Analysis (Worksheet)'!$AA$20</c:f>
              <c:strCache>
                <c:ptCount val="1"/>
                <c:pt idx="0">
                  <c:v>WZ Queue</c:v>
                </c:pt>
              </c:strCache>
            </c:strRef>
          </c:tx>
          <c:spPr>
            <a:solidFill>
              <a:srgbClr val="FFC000"/>
            </a:solidFill>
          </c:spPr>
          <c:invertIfNegative val="0"/>
          <c:cat>
            <c:numRef>
              <c:f>'WZ Analysis (Worksheet)'!$I$22:$I$45</c:f>
              <c:numCache>
                <c:formatCode>[$-409]h:mm\ AM/PM;@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'WZ Analysis (Worksheet)'!$AA$167:$AA$190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0"/>
        <c:overlap val="100"/>
        <c:axId val="154509696"/>
        <c:axId val="154511232"/>
      </c:barChart>
      <c:lineChart>
        <c:grouping val="standard"/>
        <c:varyColors val="0"/>
        <c:ser>
          <c:idx val="2"/>
          <c:order val="2"/>
          <c:tx>
            <c:strRef>
              <c:f>'WZ Analysis (Worksheet)'!$Q$20</c:f>
              <c:strCache>
                <c:ptCount val="1"/>
                <c:pt idx="0">
                  <c:v>Base Delay</c:v>
                </c:pt>
              </c:strCache>
            </c:strRef>
          </c:tx>
          <c:spPr>
            <a:ln>
              <a:solidFill>
                <a:srgbClr val="0000FF"/>
              </a:solidFill>
              <a:prstDash val="sysDash"/>
            </a:ln>
          </c:spPr>
          <c:marker>
            <c:symbol val="none"/>
          </c:marker>
          <c:val>
            <c:numRef>
              <c:f>'WZ Analysis (Worksheet)'!$Q$167:$Q$190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ser>
          <c:idx val="3"/>
          <c:order val="3"/>
          <c:tx>
            <c:strRef>
              <c:f>'WZ Analysis (Worksheet)'!$X$20</c:f>
              <c:strCache>
                <c:ptCount val="1"/>
                <c:pt idx="0">
                  <c:v>Total Delay</c:v>
                </c:pt>
              </c:strCache>
            </c:strRef>
          </c:tx>
          <c:spPr>
            <a:ln>
              <a:solidFill>
                <a:srgbClr val="FF0000"/>
              </a:solidFill>
              <a:prstDash val="sysDash"/>
            </a:ln>
          </c:spPr>
          <c:marker>
            <c:symbol val="none"/>
          </c:marker>
          <c:val>
            <c:numRef>
              <c:f>'WZ Analysis (Worksheet)'!$AC$167:$AC$190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ser>
        <c:dLbls>
          <c:showLegendKey val="0"/>
          <c:showVal val="0"/>
          <c:showCatName val="0"/>
          <c:showSerName val="0"/>
          <c:showPercent val="0"/>
          <c:showBubbleSize val="0"/>
        </c:dLbls>
        <c:marker val="1"/>
        <c:smooth val="0"/>
        <c:axId val="154527616"/>
        <c:axId val="154525696"/>
      </c:lineChart>
      <c:catAx>
        <c:axId val="154509696"/>
        <c:scaling>
          <c:orientation val="minMax"/>
        </c:scaling>
        <c:delete val="0"/>
        <c:axPos val="b"/>
        <c:numFmt formatCode="[$-409]h:mm\ AM/PM;@" sourceLinked="1"/>
        <c:majorTickMark val="out"/>
        <c:minorTickMark val="none"/>
        <c:tickLblPos val="nextTo"/>
        <c:spPr>
          <a:ln w="9525"/>
        </c:spPr>
        <c:txPr>
          <a:bodyPr rot="5400000" vert="horz"/>
          <a:lstStyle/>
          <a:p>
            <a:pPr>
              <a:defRPr/>
            </a:pPr>
            <a:endParaRPr lang="en-US"/>
          </a:p>
        </c:txPr>
        <c:crossAx val="154511232"/>
        <c:crosses val="autoZero"/>
        <c:auto val="1"/>
        <c:lblAlgn val="ctr"/>
        <c:lblOffset val="100"/>
        <c:tickLblSkip val="1"/>
        <c:tickMarkSkip val="1"/>
        <c:noMultiLvlLbl val="0"/>
      </c:catAx>
      <c:valAx>
        <c:axId val="154511232"/>
        <c:scaling>
          <c:orientation val="minMax"/>
        </c:scaling>
        <c:delete val="0"/>
        <c:axPos val="l"/>
        <c:majorGridlines/>
        <c:title>
          <c:tx>
            <c:rich>
              <a:bodyPr rot="-5400000" vert="horz"/>
              <a:lstStyle/>
              <a:p>
                <a:pPr>
                  <a:defRPr/>
                </a:pPr>
                <a:r>
                  <a:rPr lang="en-US"/>
                  <a:t>Queue</a:t>
                </a:r>
                <a:r>
                  <a:rPr lang="en-US" baseline="0"/>
                  <a:t> Length</a:t>
                </a:r>
                <a:r>
                  <a:rPr lang="en-US"/>
                  <a:t> (mi)</a:t>
                </a:r>
              </a:p>
            </c:rich>
          </c:tx>
          <c:overlay val="0"/>
        </c:title>
        <c:numFmt formatCode="0.0" sourceLinked="0"/>
        <c:majorTickMark val="out"/>
        <c:minorTickMark val="none"/>
        <c:tickLblPos val="nextTo"/>
        <c:crossAx val="154509696"/>
        <c:crosses val="autoZero"/>
        <c:crossBetween val="between"/>
      </c:valAx>
      <c:valAx>
        <c:axId val="154525696"/>
        <c:scaling>
          <c:orientation val="minMax"/>
        </c:scaling>
        <c:delete val="0"/>
        <c:axPos val="r"/>
        <c:title>
          <c:tx>
            <c:rich>
              <a:bodyPr rot="-5400000" vert="horz"/>
              <a:lstStyle/>
              <a:p>
                <a:pPr>
                  <a:defRPr/>
                </a:pPr>
                <a:r>
                  <a:rPr lang="en-US" baseline="0"/>
                  <a:t>Delay (min)</a:t>
                </a:r>
                <a:endParaRPr lang="en-US"/>
              </a:p>
            </c:rich>
          </c:tx>
          <c:overlay val="0"/>
        </c:title>
        <c:numFmt formatCode="0" sourceLinked="0"/>
        <c:majorTickMark val="out"/>
        <c:minorTickMark val="none"/>
        <c:tickLblPos val="nextTo"/>
        <c:crossAx val="154527616"/>
        <c:crosses val="max"/>
        <c:crossBetween val="between"/>
      </c:valAx>
      <c:catAx>
        <c:axId val="154527616"/>
        <c:scaling>
          <c:orientation val="minMax"/>
        </c:scaling>
        <c:delete val="1"/>
        <c:axPos val="b"/>
        <c:majorTickMark val="out"/>
        <c:minorTickMark val="none"/>
        <c:tickLblPos val="nextTo"/>
        <c:crossAx val="154525696"/>
        <c:crosses val="autoZero"/>
        <c:auto val="1"/>
        <c:lblAlgn val="ctr"/>
        <c:lblOffset val="100"/>
        <c:noMultiLvlLbl val="0"/>
      </c:catAx>
    </c:plotArea>
    <c:legend>
      <c:legendPos val="b"/>
      <c:overlay val="0"/>
      <c:spPr>
        <a:solidFill>
          <a:schemeClr val="bg1"/>
        </a:solidFill>
        <a:ln>
          <a:solidFill>
            <a:schemeClr val="tx1"/>
          </a:solidFill>
        </a:ln>
      </c:spPr>
    </c:legend>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image" Target="../media/image1.jpeg"/><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1</xdr:col>
      <xdr:colOff>704850</xdr:colOff>
      <xdr:row>0</xdr:row>
      <xdr:rowOff>838200</xdr:rowOff>
    </xdr:to>
    <xdr:pic>
      <xdr:nvPicPr>
        <xdr:cNvPr id="30723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5725"/>
          <a:ext cx="13144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396459</xdr:colOff>
      <xdr:row>0</xdr:row>
      <xdr:rowOff>533400</xdr:rowOff>
    </xdr:to>
    <xdr:pic>
      <xdr:nvPicPr>
        <xdr:cNvPr id="329780" name="Pictur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4134"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xdr:colOff>
      <xdr:row>47</xdr:row>
      <xdr:rowOff>95251</xdr:rowOff>
    </xdr:from>
    <xdr:to>
      <xdr:col>10</xdr:col>
      <xdr:colOff>819150</xdr:colOff>
      <xdr:row>67</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257175</xdr:colOff>
      <xdr:row>48</xdr:row>
      <xdr:rowOff>76200</xdr:rowOff>
    </xdr:from>
    <xdr:to>
      <xdr:col>43</xdr:col>
      <xdr:colOff>552450</xdr:colOff>
      <xdr:row>77</xdr:row>
      <xdr:rowOff>228600</xdr:rowOff>
    </xdr:to>
    <xdr:graphicFrame macro="">
      <xdr:nvGraphicFramePr>
        <xdr:cNvPr id="3676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38100</xdr:colOff>
      <xdr:row>17</xdr:row>
      <xdr:rowOff>104775</xdr:rowOff>
    </xdr:from>
    <xdr:to>
      <xdr:col>45</xdr:col>
      <xdr:colOff>390525</xdr:colOff>
      <xdr:row>45</xdr:row>
      <xdr:rowOff>0</xdr:rowOff>
    </xdr:to>
    <xdr:graphicFrame macro="">
      <xdr:nvGraphicFramePr>
        <xdr:cNvPr id="36765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52388</xdr:rowOff>
    </xdr:from>
    <xdr:to>
      <xdr:col>2</xdr:col>
      <xdr:colOff>545684</xdr:colOff>
      <xdr:row>0</xdr:row>
      <xdr:rowOff>538163</xdr:rowOff>
    </xdr:to>
    <xdr:pic>
      <xdr:nvPicPr>
        <xdr:cNvPr id="6" name="Pictur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2388"/>
          <a:ext cx="840959"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111806</xdr:colOff>
      <xdr:row>5</xdr:row>
      <xdr:rowOff>20183</xdr:rowOff>
    </xdr:from>
    <xdr:to>
      <xdr:col>13</xdr:col>
      <xdr:colOff>1</xdr:colOff>
      <xdr:row>24</xdr:row>
      <xdr:rowOff>20182</xdr:rowOff>
    </xdr:to>
    <xdr:graphicFrame macro="">
      <xdr:nvGraphicFramePr>
        <xdr:cNvPr id="10"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111806</xdr:colOff>
      <xdr:row>27</xdr:row>
      <xdr:rowOff>20183</xdr:rowOff>
    </xdr:from>
    <xdr:to>
      <xdr:col>13</xdr:col>
      <xdr:colOff>1</xdr:colOff>
      <xdr:row>46</xdr:row>
      <xdr:rowOff>20182</xdr:rowOff>
    </xdr:to>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111806</xdr:colOff>
      <xdr:row>49</xdr:row>
      <xdr:rowOff>20183</xdr:rowOff>
    </xdr:from>
    <xdr:to>
      <xdr:col>13</xdr:col>
      <xdr:colOff>1</xdr:colOff>
      <xdr:row>68</xdr:row>
      <xdr:rowOff>20182</xdr:rowOff>
    </xdr:to>
    <xdr:graphicFrame macro="">
      <xdr:nvGraphicFramePr>
        <xdr:cNvPr id="5" name="Chart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111806</xdr:colOff>
      <xdr:row>71</xdr:row>
      <xdr:rowOff>20183</xdr:rowOff>
    </xdr:from>
    <xdr:to>
      <xdr:col>13</xdr:col>
      <xdr:colOff>1</xdr:colOff>
      <xdr:row>90</xdr:row>
      <xdr:rowOff>20182</xdr:rowOff>
    </xdr:to>
    <xdr:graphicFrame macro="">
      <xdr:nvGraphicFramePr>
        <xdr:cNvPr id="8" name="Chart 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111806</xdr:colOff>
      <xdr:row>93</xdr:row>
      <xdr:rowOff>20183</xdr:rowOff>
    </xdr:from>
    <xdr:to>
      <xdr:col>13</xdr:col>
      <xdr:colOff>1</xdr:colOff>
      <xdr:row>112</xdr:row>
      <xdr:rowOff>20182</xdr:rowOff>
    </xdr:to>
    <xdr:graphicFrame macro="">
      <xdr:nvGraphicFramePr>
        <xdr:cNvPr id="11"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111806</xdr:colOff>
      <xdr:row>115</xdr:row>
      <xdr:rowOff>20183</xdr:rowOff>
    </xdr:from>
    <xdr:to>
      <xdr:col>13</xdr:col>
      <xdr:colOff>1</xdr:colOff>
      <xdr:row>134</xdr:row>
      <xdr:rowOff>20182</xdr:rowOff>
    </xdr:to>
    <xdr:graphicFrame macro="">
      <xdr:nvGraphicFramePr>
        <xdr:cNvPr id="13" name="Chart 1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111806</xdr:colOff>
      <xdr:row>137</xdr:row>
      <xdr:rowOff>20183</xdr:rowOff>
    </xdr:from>
    <xdr:to>
      <xdr:col>13</xdr:col>
      <xdr:colOff>1</xdr:colOff>
      <xdr:row>156</xdr:row>
      <xdr:rowOff>20182</xdr:rowOff>
    </xdr:to>
    <xdr:graphicFrame macro="">
      <xdr:nvGraphicFramePr>
        <xdr:cNvPr id="15" name="Chart 1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xdr:colOff>
      <xdr:row>3</xdr:row>
      <xdr:rowOff>9525</xdr:rowOff>
    </xdr:from>
    <xdr:to>
      <xdr:col>15</xdr:col>
      <xdr:colOff>838199</xdr:colOff>
      <xdr:row>26</xdr:row>
      <xdr:rowOff>95250</xdr:rowOff>
    </xdr:to>
    <xdr:graphicFrame macro="">
      <xdr:nvGraphicFramePr>
        <xdr:cNvPr id="19674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27</xdr:row>
      <xdr:rowOff>104775</xdr:rowOff>
    </xdr:from>
    <xdr:to>
      <xdr:col>15</xdr:col>
      <xdr:colOff>838200</xdr:colOff>
      <xdr:row>50</xdr:row>
      <xdr:rowOff>180975</xdr:rowOff>
    </xdr:to>
    <xdr:graphicFrame macro="">
      <xdr:nvGraphicFramePr>
        <xdr:cNvPr id="19674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133350</xdr:colOff>
      <xdr:row>0</xdr:row>
      <xdr:rowOff>52388</xdr:rowOff>
    </xdr:from>
    <xdr:to>
      <xdr:col>1</xdr:col>
      <xdr:colOff>526634</xdr:colOff>
      <xdr:row>0</xdr:row>
      <xdr:rowOff>523875</xdr:rowOff>
    </xdr:to>
    <xdr:pic>
      <xdr:nvPicPr>
        <xdr:cNvPr id="6"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52388"/>
          <a:ext cx="840959" cy="471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Raymond.Shank@modot.mo.gov" TargetMode="External"/><Relationship Id="rId2" Type="http://schemas.openxmlformats.org/officeDocument/2006/relationships/hyperlink" Target="mailto:Daniel.Smith@modot.mo.gov" TargetMode="External"/><Relationship Id="rId1" Type="http://schemas.openxmlformats.org/officeDocument/2006/relationships/hyperlink" Target="http://epg.modot.org/index.php?title=616.13_Work_Zone_Capacity%2C_Queue_and_Travel_Delay"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epg.modot.org/files/8/85/616.13.2_Directions_2013.docx"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epg.modot.org/files/e/e1/616.30_Traffic_Segment_Hourly_Volume_Directions.doc" TargetMode="External"/><Relationship Id="rId1" Type="http://schemas.openxmlformats.org/officeDocument/2006/relationships/hyperlink" Target="http://tmshome/TMS/TMS.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5"/>
  <sheetViews>
    <sheetView topLeftCell="A79" workbookViewId="0">
      <selection activeCell="D98" sqref="D98"/>
    </sheetView>
  </sheetViews>
  <sheetFormatPr defaultRowHeight="13.2" x14ac:dyDescent="0.25"/>
  <cols>
    <col min="3" max="3" width="20.44140625" customWidth="1"/>
    <col min="4" max="4" width="20" customWidth="1"/>
    <col min="19" max="19" width="48.6640625" customWidth="1"/>
    <col min="20" max="20" width="11" customWidth="1"/>
  </cols>
  <sheetData>
    <row r="1" spans="1:25" x14ac:dyDescent="0.25">
      <c r="A1" t="s">
        <v>66</v>
      </c>
      <c r="C1" t="s">
        <v>67</v>
      </c>
      <c r="D1" t="s">
        <v>67</v>
      </c>
      <c r="E1" t="s">
        <v>68</v>
      </c>
      <c r="G1" t="s">
        <v>68</v>
      </c>
      <c r="I1" t="s">
        <v>69</v>
      </c>
      <c r="J1" t="s">
        <v>70</v>
      </c>
      <c r="K1" t="s">
        <v>71</v>
      </c>
      <c r="L1" t="s">
        <v>72</v>
      </c>
      <c r="N1" t="s">
        <v>73</v>
      </c>
      <c r="P1" t="s">
        <v>74</v>
      </c>
      <c r="S1" t="s">
        <v>54</v>
      </c>
      <c r="V1" t="s">
        <v>23</v>
      </c>
      <c r="X1" s="55" t="s">
        <v>845</v>
      </c>
    </row>
    <row r="2" spans="1:25" x14ac:dyDescent="0.25">
      <c r="A2" t="s">
        <v>75</v>
      </c>
      <c r="C2" t="s">
        <v>76</v>
      </c>
      <c r="D2" t="s">
        <v>77</v>
      </c>
      <c r="E2" t="s">
        <v>78</v>
      </c>
      <c r="G2" t="s">
        <v>79</v>
      </c>
      <c r="I2" t="s">
        <v>80</v>
      </c>
      <c r="J2" t="s">
        <v>81</v>
      </c>
      <c r="K2" t="s">
        <v>82</v>
      </c>
      <c r="L2" t="s">
        <v>80</v>
      </c>
      <c r="N2" t="s">
        <v>83</v>
      </c>
      <c r="P2" t="s">
        <v>84</v>
      </c>
      <c r="R2" s="55" t="s">
        <v>886</v>
      </c>
      <c r="S2" s="55" t="s">
        <v>64</v>
      </c>
      <c r="T2">
        <v>9</v>
      </c>
      <c r="V2" t="s">
        <v>30</v>
      </c>
      <c r="W2">
        <v>3</v>
      </c>
      <c r="X2" t="s">
        <v>43</v>
      </c>
      <c r="Y2">
        <v>0</v>
      </c>
    </row>
    <row r="3" spans="1:25" x14ac:dyDescent="0.25">
      <c r="A3" t="s">
        <v>85</v>
      </c>
      <c r="C3" t="s">
        <v>86</v>
      </c>
      <c r="D3" t="s">
        <v>87</v>
      </c>
      <c r="E3" t="s">
        <v>88</v>
      </c>
      <c r="G3" t="s">
        <v>89</v>
      </c>
      <c r="I3" t="s">
        <v>90</v>
      </c>
      <c r="J3" t="s">
        <v>91</v>
      </c>
      <c r="K3" t="s">
        <v>92</v>
      </c>
      <c r="L3" t="s">
        <v>90</v>
      </c>
      <c r="N3" t="s">
        <v>93</v>
      </c>
      <c r="P3" t="s">
        <v>94</v>
      </c>
      <c r="R3" t="s">
        <v>62</v>
      </c>
      <c r="S3" s="55" t="s">
        <v>842</v>
      </c>
      <c r="T3">
        <v>6</v>
      </c>
      <c r="V3" t="s">
        <v>28</v>
      </c>
      <c r="W3">
        <v>1</v>
      </c>
      <c r="X3" t="s">
        <v>44</v>
      </c>
      <c r="Y3">
        <v>1</v>
      </c>
    </row>
    <row r="4" spans="1:25" x14ac:dyDescent="0.25">
      <c r="A4" t="s">
        <v>95</v>
      </c>
      <c r="C4" t="s">
        <v>96</v>
      </c>
      <c r="D4" t="s">
        <v>97</v>
      </c>
      <c r="E4" t="s">
        <v>98</v>
      </c>
      <c r="G4" t="s">
        <v>99</v>
      </c>
      <c r="I4" t="s">
        <v>100</v>
      </c>
      <c r="J4" t="s">
        <v>101</v>
      </c>
      <c r="K4" t="s">
        <v>102</v>
      </c>
      <c r="L4" t="s">
        <v>100</v>
      </c>
      <c r="N4" t="s">
        <v>103</v>
      </c>
      <c r="P4" t="s">
        <v>104</v>
      </c>
      <c r="R4" t="s">
        <v>56</v>
      </c>
      <c r="S4" s="55" t="s">
        <v>844</v>
      </c>
      <c r="T4" s="55">
        <v>15</v>
      </c>
      <c r="V4" t="s">
        <v>29</v>
      </c>
      <c r="W4">
        <v>2</v>
      </c>
      <c r="X4" t="s">
        <v>48</v>
      </c>
      <c r="Y4">
        <v>4</v>
      </c>
    </row>
    <row r="5" spans="1:25" x14ac:dyDescent="0.25">
      <c r="A5" t="s">
        <v>105</v>
      </c>
      <c r="C5" t="s">
        <v>106</v>
      </c>
      <c r="D5" t="s">
        <v>107</v>
      </c>
      <c r="E5" t="s">
        <v>108</v>
      </c>
      <c r="G5" t="s">
        <v>109</v>
      </c>
      <c r="I5" t="s">
        <v>110</v>
      </c>
      <c r="J5" t="s">
        <v>111</v>
      </c>
      <c r="K5" t="s">
        <v>112</v>
      </c>
      <c r="L5" t="s">
        <v>110</v>
      </c>
      <c r="N5" t="s">
        <v>113</v>
      </c>
      <c r="P5" t="s">
        <v>114</v>
      </c>
      <c r="R5" t="s">
        <v>842</v>
      </c>
      <c r="S5" s="55" t="s">
        <v>886</v>
      </c>
      <c r="T5" s="55">
        <v>538</v>
      </c>
      <c r="X5" t="s">
        <v>49</v>
      </c>
      <c r="Y5">
        <v>7</v>
      </c>
    </row>
    <row r="6" spans="1:25" x14ac:dyDescent="0.25">
      <c r="A6" t="s">
        <v>115</v>
      </c>
      <c r="C6" t="s">
        <v>116</v>
      </c>
      <c r="D6" t="s">
        <v>117</v>
      </c>
      <c r="E6" t="s">
        <v>118</v>
      </c>
      <c r="G6" t="s">
        <v>119</v>
      </c>
      <c r="I6" t="s">
        <v>120</v>
      </c>
      <c r="J6" t="s">
        <v>121</v>
      </c>
      <c r="K6" t="s">
        <v>122</v>
      </c>
      <c r="L6" t="s">
        <v>120</v>
      </c>
      <c r="N6" t="s">
        <v>123</v>
      </c>
      <c r="P6" t="s">
        <v>124</v>
      </c>
      <c r="R6" t="s">
        <v>64</v>
      </c>
      <c r="S6" s="55" t="s">
        <v>843</v>
      </c>
      <c r="T6" s="55">
        <v>12</v>
      </c>
      <c r="X6" t="s">
        <v>50</v>
      </c>
      <c r="Y6">
        <v>10</v>
      </c>
    </row>
    <row r="7" spans="1:25" x14ac:dyDescent="0.25">
      <c r="A7" t="s">
        <v>125</v>
      </c>
      <c r="C7" t="s">
        <v>126</v>
      </c>
      <c r="D7" t="s">
        <v>127</v>
      </c>
      <c r="E7" t="s">
        <v>128</v>
      </c>
      <c r="G7" t="s">
        <v>129</v>
      </c>
      <c r="I7" t="s">
        <v>130</v>
      </c>
      <c r="J7" t="s">
        <v>131</v>
      </c>
      <c r="K7" t="s">
        <v>132</v>
      </c>
      <c r="L7" t="s">
        <v>130</v>
      </c>
      <c r="N7" t="s">
        <v>133</v>
      </c>
      <c r="P7" t="s">
        <v>134</v>
      </c>
      <c r="R7" t="s">
        <v>843</v>
      </c>
      <c r="S7" s="55" t="s">
        <v>56</v>
      </c>
      <c r="T7" s="55">
        <v>3</v>
      </c>
      <c r="X7" t="s">
        <v>51</v>
      </c>
      <c r="Y7">
        <v>13</v>
      </c>
    </row>
    <row r="8" spans="1:25" x14ac:dyDescent="0.25">
      <c r="A8" t="s">
        <v>135</v>
      </c>
      <c r="C8" t="s">
        <v>136</v>
      </c>
      <c r="D8" t="s">
        <v>137</v>
      </c>
      <c r="E8" t="s">
        <v>138</v>
      </c>
      <c r="G8" t="s">
        <v>139</v>
      </c>
      <c r="I8" t="s">
        <v>140</v>
      </c>
      <c r="J8" t="s">
        <v>141</v>
      </c>
      <c r="K8" t="s">
        <v>142</v>
      </c>
      <c r="L8" t="s">
        <v>140</v>
      </c>
      <c r="P8" t="s">
        <v>143</v>
      </c>
      <c r="R8" t="s">
        <v>844</v>
      </c>
      <c r="S8" s="55" t="s">
        <v>62</v>
      </c>
      <c r="T8" s="55">
        <v>0</v>
      </c>
    </row>
    <row r="9" spans="1:25" x14ac:dyDescent="0.25">
      <c r="A9" t="s">
        <v>123</v>
      </c>
      <c r="C9" t="s">
        <v>144</v>
      </c>
      <c r="D9" t="s">
        <v>145</v>
      </c>
      <c r="E9" t="s">
        <v>146</v>
      </c>
      <c r="G9" t="s">
        <v>147</v>
      </c>
      <c r="I9" t="s">
        <v>148</v>
      </c>
      <c r="J9" t="s">
        <v>149</v>
      </c>
      <c r="K9" t="s">
        <v>150</v>
      </c>
      <c r="L9" t="s">
        <v>148</v>
      </c>
      <c r="P9" t="s">
        <v>151</v>
      </c>
    </row>
    <row r="10" spans="1:25" x14ac:dyDescent="0.25">
      <c r="A10" t="s">
        <v>133</v>
      </c>
      <c r="C10" t="s">
        <v>152</v>
      </c>
      <c r="D10" t="s">
        <v>153</v>
      </c>
      <c r="E10" t="s">
        <v>154</v>
      </c>
      <c r="G10" t="s">
        <v>155</v>
      </c>
      <c r="I10" t="s">
        <v>156</v>
      </c>
      <c r="J10" t="s">
        <v>157</v>
      </c>
      <c r="K10" t="s">
        <v>158</v>
      </c>
      <c r="L10" t="s">
        <v>156</v>
      </c>
      <c r="P10" t="s">
        <v>159</v>
      </c>
    </row>
    <row r="11" spans="1:25" x14ac:dyDescent="0.25">
      <c r="C11" t="s">
        <v>160</v>
      </c>
      <c r="D11" t="s">
        <v>161</v>
      </c>
      <c r="E11" t="s">
        <v>162</v>
      </c>
      <c r="G11" t="s">
        <v>163</v>
      </c>
      <c r="I11" t="s">
        <v>164</v>
      </c>
      <c r="J11" t="s">
        <v>165</v>
      </c>
      <c r="K11" t="s">
        <v>166</v>
      </c>
      <c r="L11" t="s">
        <v>164</v>
      </c>
      <c r="P11" t="s">
        <v>167</v>
      </c>
    </row>
    <row r="12" spans="1:25" x14ac:dyDescent="0.25">
      <c r="C12" t="s">
        <v>168</v>
      </c>
      <c r="D12" t="s">
        <v>169</v>
      </c>
      <c r="E12" t="s">
        <v>170</v>
      </c>
      <c r="G12" t="s">
        <v>171</v>
      </c>
      <c r="I12" t="s">
        <v>172</v>
      </c>
      <c r="J12" t="s">
        <v>173</v>
      </c>
      <c r="K12" t="s">
        <v>174</v>
      </c>
      <c r="L12" t="s">
        <v>172</v>
      </c>
      <c r="P12" t="s">
        <v>123</v>
      </c>
    </row>
    <row r="13" spans="1:25" x14ac:dyDescent="0.25">
      <c r="C13" t="s">
        <v>175</v>
      </c>
      <c r="D13" t="s">
        <v>176</v>
      </c>
      <c r="E13" t="s">
        <v>177</v>
      </c>
      <c r="G13" t="s">
        <v>178</v>
      </c>
      <c r="I13" t="s">
        <v>179</v>
      </c>
      <c r="J13" t="s">
        <v>180</v>
      </c>
      <c r="K13" t="s">
        <v>181</v>
      </c>
      <c r="L13" t="s">
        <v>179</v>
      </c>
      <c r="P13" t="s">
        <v>133</v>
      </c>
    </row>
    <row r="14" spans="1:25" x14ac:dyDescent="0.25">
      <c r="C14" t="s">
        <v>182</v>
      </c>
      <c r="D14" t="s">
        <v>183</v>
      </c>
      <c r="E14" t="s">
        <v>184</v>
      </c>
      <c r="G14" t="s">
        <v>185</v>
      </c>
      <c r="I14" t="s">
        <v>186</v>
      </c>
      <c r="J14" t="s">
        <v>187</v>
      </c>
      <c r="K14" t="s">
        <v>188</v>
      </c>
      <c r="L14" t="s">
        <v>186</v>
      </c>
    </row>
    <row r="15" spans="1:25" x14ac:dyDescent="0.25">
      <c r="C15" t="s">
        <v>189</v>
      </c>
      <c r="D15" t="s">
        <v>190</v>
      </c>
      <c r="E15" t="s">
        <v>191</v>
      </c>
      <c r="G15" t="s">
        <v>192</v>
      </c>
      <c r="I15" t="s">
        <v>193</v>
      </c>
      <c r="J15" t="s">
        <v>194</v>
      </c>
      <c r="K15" t="s">
        <v>195</v>
      </c>
      <c r="L15" t="s">
        <v>193</v>
      </c>
    </row>
    <row r="16" spans="1:25" x14ac:dyDescent="0.25">
      <c r="C16" t="s">
        <v>196</v>
      </c>
      <c r="D16" t="s">
        <v>197</v>
      </c>
      <c r="E16" t="s">
        <v>198</v>
      </c>
      <c r="G16" t="s">
        <v>199</v>
      </c>
      <c r="I16" t="s">
        <v>200</v>
      </c>
      <c r="J16" t="s">
        <v>201</v>
      </c>
      <c r="K16" t="s">
        <v>202</v>
      </c>
      <c r="L16" t="s">
        <v>200</v>
      </c>
    </row>
    <row r="17" spans="3:12" x14ac:dyDescent="0.25">
      <c r="C17" t="s">
        <v>203</v>
      </c>
      <c r="D17" t="s">
        <v>204</v>
      </c>
      <c r="E17" t="s">
        <v>205</v>
      </c>
      <c r="G17" t="s">
        <v>206</v>
      </c>
      <c r="I17" t="s">
        <v>207</v>
      </c>
      <c r="J17" t="s">
        <v>208</v>
      </c>
      <c r="K17" t="s">
        <v>209</v>
      </c>
      <c r="L17" t="s">
        <v>207</v>
      </c>
    </row>
    <row r="18" spans="3:12" x14ac:dyDescent="0.25">
      <c r="C18" t="s">
        <v>210</v>
      </c>
      <c r="D18" t="s">
        <v>211</v>
      </c>
      <c r="E18" t="s">
        <v>212</v>
      </c>
      <c r="G18" t="s">
        <v>213</v>
      </c>
      <c r="I18" t="s">
        <v>214</v>
      </c>
      <c r="J18" t="s">
        <v>215</v>
      </c>
      <c r="K18" t="s">
        <v>216</v>
      </c>
      <c r="L18" t="s">
        <v>214</v>
      </c>
    </row>
    <row r="19" spans="3:12" x14ac:dyDescent="0.25">
      <c r="C19" t="s">
        <v>217</v>
      </c>
      <c r="D19" t="s">
        <v>218</v>
      </c>
      <c r="E19" t="s">
        <v>219</v>
      </c>
      <c r="G19" t="s">
        <v>220</v>
      </c>
      <c r="I19" t="s">
        <v>221</v>
      </c>
      <c r="J19" t="s">
        <v>222</v>
      </c>
      <c r="K19" t="s">
        <v>223</v>
      </c>
      <c r="L19" t="s">
        <v>221</v>
      </c>
    </row>
    <row r="20" spans="3:12" x14ac:dyDescent="0.25">
      <c r="C20" t="s">
        <v>224</v>
      </c>
      <c r="D20" t="s">
        <v>225</v>
      </c>
      <c r="E20" t="s">
        <v>226</v>
      </c>
      <c r="G20" t="s">
        <v>227</v>
      </c>
      <c r="J20" t="s">
        <v>228</v>
      </c>
      <c r="K20" t="s">
        <v>229</v>
      </c>
      <c r="L20" t="s">
        <v>81</v>
      </c>
    </row>
    <row r="21" spans="3:12" x14ac:dyDescent="0.25">
      <c r="C21" t="s">
        <v>230</v>
      </c>
      <c r="D21" t="s">
        <v>231</v>
      </c>
      <c r="E21" t="s">
        <v>232</v>
      </c>
      <c r="G21" t="s">
        <v>233</v>
      </c>
      <c r="J21" t="s">
        <v>234</v>
      </c>
      <c r="K21" t="s">
        <v>235</v>
      </c>
      <c r="L21" t="s">
        <v>91</v>
      </c>
    </row>
    <row r="22" spans="3:12" x14ac:dyDescent="0.25">
      <c r="C22" t="s">
        <v>236</v>
      </c>
      <c r="D22" t="s">
        <v>237</v>
      </c>
      <c r="E22" t="s">
        <v>238</v>
      </c>
      <c r="G22" t="s">
        <v>239</v>
      </c>
      <c r="J22" t="s">
        <v>240</v>
      </c>
      <c r="K22" t="s">
        <v>241</v>
      </c>
      <c r="L22" t="s">
        <v>101</v>
      </c>
    </row>
    <row r="23" spans="3:12" x14ac:dyDescent="0.25">
      <c r="C23" t="s">
        <v>242</v>
      </c>
      <c r="D23" t="s">
        <v>243</v>
      </c>
      <c r="E23" t="s">
        <v>244</v>
      </c>
      <c r="G23" t="s">
        <v>245</v>
      </c>
      <c r="J23" t="s">
        <v>246</v>
      </c>
      <c r="K23" t="s">
        <v>247</v>
      </c>
      <c r="L23" t="s">
        <v>111</v>
      </c>
    </row>
    <row r="24" spans="3:12" x14ac:dyDescent="0.25">
      <c r="C24" t="s">
        <v>248</v>
      </c>
      <c r="D24" t="s">
        <v>249</v>
      </c>
      <c r="E24" t="s">
        <v>250</v>
      </c>
      <c r="G24" t="s">
        <v>251</v>
      </c>
      <c r="J24" t="s">
        <v>252</v>
      </c>
      <c r="K24" t="s">
        <v>253</v>
      </c>
      <c r="L24" t="s">
        <v>121</v>
      </c>
    </row>
    <row r="25" spans="3:12" x14ac:dyDescent="0.25">
      <c r="C25" t="s">
        <v>254</v>
      </c>
      <c r="D25" t="s">
        <v>255</v>
      </c>
      <c r="E25" t="s">
        <v>256</v>
      </c>
      <c r="G25" t="s">
        <v>257</v>
      </c>
      <c r="J25" t="s">
        <v>258</v>
      </c>
      <c r="K25" t="s">
        <v>259</v>
      </c>
      <c r="L25" t="s">
        <v>131</v>
      </c>
    </row>
    <row r="26" spans="3:12" x14ac:dyDescent="0.25">
      <c r="C26" t="s">
        <v>260</v>
      </c>
      <c r="D26" t="s">
        <v>261</v>
      </c>
      <c r="E26" t="s">
        <v>262</v>
      </c>
      <c r="G26" t="s">
        <v>263</v>
      </c>
      <c r="J26" t="s">
        <v>264</v>
      </c>
      <c r="K26" t="s">
        <v>265</v>
      </c>
      <c r="L26" t="s">
        <v>141</v>
      </c>
    </row>
    <row r="27" spans="3:12" x14ac:dyDescent="0.25">
      <c r="C27" t="s">
        <v>266</v>
      </c>
      <c r="D27" t="s">
        <v>267</v>
      </c>
      <c r="E27" t="s">
        <v>268</v>
      </c>
      <c r="G27" t="s">
        <v>269</v>
      </c>
      <c r="K27" t="s">
        <v>270</v>
      </c>
      <c r="L27" t="s">
        <v>149</v>
      </c>
    </row>
    <row r="28" spans="3:12" x14ac:dyDescent="0.25">
      <c r="C28" t="s">
        <v>271</v>
      </c>
      <c r="D28" t="s">
        <v>272</v>
      </c>
      <c r="E28" t="s">
        <v>273</v>
      </c>
      <c r="G28" t="s">
        <v>274</v>
      </c>
      <c r="K28" t="s">
        <v>275</v>
      </c>
      <c r="L28" t="s">
        <v>157</v>
      </c>
    </row>
    <row r="29" spans="3:12" x14ac:dyDescent="0.25">
      <c r="C29" t="s">
        <v>276</v>
      </c>
      <c r="D29" t="s">
        <v>277</v>
      </c>
      <c r="E29" t="s">
        <v>278</v>
      </c>
      <c r="G29" t="s">
        <v>279</v>
      </c>
      <c r="K29" t="s">
        <v>280</v>
      </c>
      <c r="L29" t="s">
        <v>165</v>
      </c>
    </row>
    <row r="30" spans="3:12" x14ac:dyDescent="0.25">
      <c r="C30" t="s">
        <v>281</v>
      </c>
      <c r="D30" t="s">
        <v>282</v>
      </c>
      <c r="E30" t="s">
        <v>283</v>
      </c>
      <c r="G30" t="s">
        <v>284</v>
      </c>
      <c r="K30" t="s">
        <v>285</v>
      </c>
      <c r="L30" t="s">
        <v>173</v>
      </c>
    </row>
    <row r="31" spans="3:12" x14ac:dyDescent="0.25">
      <c r="C31" t="s">
        <v>286</v>
      </c>
      <c r="D31" t="s">
        <v>287</v>
      </c>
      <c r="E31" t="s">
        <v>288</v>
      </c>
      <c r="G31" t="s">
        <v>289</v>
      </c>
      <c r="K31" t="s">
        <v>290</v>
      </c>
      <c r="L31" t="s">
        <v>180</v>
      </c>
    </row>
    <row r="32" spans="3:12" x14ac:dyDescent="0.25">
      <c r="C32" t="s">
        <v>291</v>
      </c>
      <c r="D32" t="s">
        <v>292</v>
      </c>
      <c r="E32" t="s">
        <v>293</v>
      </c>
      <c r="G32" t="s">
        <v>294</v>
      </c>
      <c r="K32" t="s">
        <v>295</v>
      </c>
      <c r="L32" t="s">
        <v>187</v>
      </c>
    </row>
    <row r="33" spans="3:12" x14ac:dyDescent="0.25">
      <c r="C33" t="s">
        <v>296</v>
      </c>
      <c r="D33" t="s">
        <v>297</v>
      </c>
      <c r="E33" t="s">
        <v>298</v>
      </c>
      <c r="G33" t="s">
        <v>299</v>
      </c>
      <c r="K33" t="s">
        <v>300</v>
      </c>
      <c r="L33" t="s">
        <v>194</v>
      </c>
    </row>
    <row r="34" spans="3:12" x14ac:dyDescent="0.25">
      <c r="C34" t="s">
        <v>301</v>
      </c>
      <c r="D34" t="s">
        <v>302</v>
      </c>
      <c r="E34" t="s">
        <v>303</v>
      </c>
      <c r="G34" t="s">
        <v>304</v>
      </c>
      <c r="K34" t="s">
        <v>305</v>
      </c>
      <c r="L34" t="s">
        <v>201</v>
      </c>
    </row>
    <row r="35" spans="3:12" x14ac:dyDescent="0.25">
      <c r="C35" t="s">
        <v>306</v>
      </c>
      <c r="D35" t="s">
        <v>307</v>
      </c>
      <c r="E35" t="s">
        <v>308</v>
      </c>
      <c r="G35" t="s">
        <v>309</v>
      </c>
      <c r="K35" t="s">
        <v>310</v>
      </c>
      <c r="L35" t="s">
        <v>208</v>
      </c>
    </row>
    <row r="36" spans="3:12" x14ac:dyDescent="0.25">
      <c r="C36" t="s">
        <v>311</v>
      </c>
      <c r="D36" t="s">
        <v>312</v>
      </c>
      <c r="E36" t="s">
        <v>313</v>
      </c>
      <c r="G36" t="s">
        <v>314</v>
      </c>
      <c r="K36" t="s">
        <v>315</v>
      </c>
      <c r="L36" t="s">
        <v>215</v>
      </c>
    </row>
    <row r="37" spans="3:12" x14ac:dyDescent="0.25">
      <c r="C37" t="s">
        <v>316</v>
      </c>
      <c r="D37" t="s">
        <v>317</v>
      </c>
      <c r="E37" t="s">
        <v>318</v>
      </c>
      <c r="G37" t="s">
        <v>319</v>
      </c>
      <c r="K37" t="s">
        <v>320</v>
      </c>
      <c r="L37" t="s">
        <v>222</v>
      </c>
    </row>
    <row r="38" spans="3:12" x14ac:dyDescent="0.25">
      <c r="C38" t="s">
        <v>321</v>
      </c>
      <c r="D38" t="s">
        <v>322</v>
      </c>
      <c r="E38" t="s">
        <v>323</v>
      </c>
      <c r="G38" t="s">
        <v>324</v>
      </c>
      <c r="K38" t="s">
        <v>325</v>
      </c>
      <c r="L38" t="s">
        <v>228</v>
      </c>
    </row>
    <row r="39" spans="3:12" x14ac:dyDescent="0.25">
      <c r="C39" t="s">
        <v>326</v>
      </c>
      <c r="D39" t="s">
        <v>327</v>
      </c>
      <c r="E39" t="s">
        <v>328</v>
      </c>
      <c r="G39" t="s">
        <v>329</v>
      </c>
      <c r="K39" t="s">
        <v>330</v>
      </c>
      <c r="L39" t="s">
        <v>234</v>
      </c>
    </row>
    <row r="40" spans="3:12" x14ac:dyDescent="0.25">
      <c r="C40" t="s">
        <v>331</v>
      </c>
      <c r="D40" t="s">
        <v>332</v>
      </c>
      <c r="E40" t="s">
        <v>333</v>
      </c>
      <c r="G40" t="s">
        <v>334</v>
      </c>
      <c r="K40" t="s">
        <v>335</v>
      </c>
      <c r="L40" t="s">
        <v>240</v>
      </c>
    </row>
    <row r="41" spans="3:12" x14ac:dyDescent="0.25">
      <c r="C41" t="s">
        <v>336</v>
      </c>
      <c r="D41" t="s">
        <v>337</v>
      </c>
      <c r="E41" t="s">
        <v>338</v>
      </c>
      <c r="G41" t="s">
        <v>339</v>
      </c>
      <c r="K41" t="s">
        <v>340</v>
      </c>
      <c r="L41" t="s">
        <v>246</v>
      </c>
    </row>
    <row r="42" spans="3:12" x14ac:dyDescent="0.25">
      <c r="C42" t="s">
        <v>341</v>
      </c>
      <c r="D42" t="s">
        <v>342</v>
      </c>
      <c r="E42" t="s">
        <v>343</v>
      </c>
      <c r="G42" t="s">
        <v>344</v>
      </c>
      <c r="K42" t="s">
        <v>110</v>
      </c>
      <c r="L42" t="s">
        <v>252</v>
      </c>
    </row>
    <row r="43" spans="3:12" x14ac:dyDescent="0.25">
      <c r="C43" t="s">
        <v>345</v>
      </c>
      <c r="D43" t="s">
        <v>346</v>
      </c>
      <c r="E43" t="s">
        <v>347</v>
      </c>
      <c r="G43" t="s">
        <v>348</v>
      </c>
      <c r="K43" t="s">
        <v>349</v>
      </c>
      <c r="L43" t="s">
        <v>258</v>
      </c>
    </row>
    <row r="44" spans="3:12" x14ac:dyDescent="0.25">
      <c r="C44" t="s">
        <v>350</v>
      </c>
      <c r="D44" t="s">
        <v>351</v>
      </c>
      <c r="E44" t="s">
        <v>352</v>
      </c>
      <c r="G44" t="s">
        <v>353</v>
      </c>
      <c r="K44" t="s">
        <v>354</v>
      </c>
      <c r="L44" t="s">
        <v>264</v>
      </c>
    </row>
    <row r="45" spans="3:12" x14ac:dyDescent="0.25">
      <c r="C45" t="s">
        <v>355</v>
      </c>
      <c r="D45" t="s">
        <v>356</v>
      </c>
      <c r="E45">
        <v>1</v>
      </c>
      <c r="F45" t="s">
        <v>357</v>
      </c>
      <c r="G45" t="s">
        <v>358</v>
      </c>
      <c r="K45" t="s">
        <v>359</v>
      </c>
      <c r="L45" t="s">
        <v>82</v>
      </c>
    </row>
    <row r="46" spans="3:12" x14ac:dyDescent="0.25">
      <c r="C46" t="s">
        <v>360</v>
      </c>
      <c r="D46" t="s">
        <v>361</v>
      </c>
      <c r="E46">
        <v>2</v>
      </c>
      <c r="F46" t="s">
        <v>357</v>
      </c>
      <c r="G46" t="s">
        <v>362</v>
      </c>
      <c r="K46" t="s">
        <v>363</v>
      </c>
      <c r="L46" t="s">
        <v>92</v>
      </c>
    </row>
    <row r="47" spans="3:12" x14ac:dyDescent="0.25">
      <c r="C47" t="s">
        <v>364</v>
      </c>
      <c r="D47" t="s">
        <v>365</v>
      </c>
      <c r="E47">
        <v>3</v>
      </c>
      <c r="F47" t="s">
        <v>357</v>
      </c>
      <c r="G47" t="s">
        <v>366</v>
      </c>
      <c r="K47" t="s">
        <v>208</v>
      </c>
      <c r="L47" t="s">
        <v>102</v>
      </c>
    </row>
    <row r="48" spans="3:12" x14ac:dyDescent="0.25">
      <c r="C48" t="s">
        <v>367</v>
      </c>
      <c r="D48" t="s">
        <v>368</v>
      </c>
      <c r="E48">
        <v>5</v>
      </c>
      <c r="F48" t="s">
        <v>357</v>
      </c>
      <c r="G48" t="s">
        <v>369</v>
      </c>
      <c r="K48" t="s">
        <v>140</v>
      </c>
      <c r="L48" t="s">
        <v>112</v>
      </c>
    </row>
    <row r="49" spans="3:12" x14ac:dyDescent="0.25">
      <c r="C49" t="s">
        <v>370</v>
      </c>
      <c r="D49" t="s">
        <v>371</v>
      </c>
      <c r="E49">
        <v>6</v>
      </c>
      <c r="F49" t="s">
        <v>357</v>
      </c>
      <c r="G49" t="s">
        <v>372</v>
      </c>
      <c r="K49" t="s">
        <v>157</v>
      </c>
      <c r="L49" t="s">
        <v>122</v>
      </c>
    </row>
    <row r="50" spans="3:12" x14ac:dyDescent="0.25">
      <c r="C50" t="s">
        <v>373</v>
      </c>
      <c r="D50" t="s">
        <v>374</v>
      </c>
      <c r="E50">
        <v>7</v>
      </c>
      <c r="F50" t="s">
        <v>357</v>
      </c>
      <c r="G50" t="s">
        <v>375</v>
      </c>
      <c r="K50" t="s">
        <v>376</v>
      </c>
      <c r="L50" t="s">
        <v>132</v>
      </c>
    </row>
    <row r="51" spans="3:12" x14ac:dyDescent="0.25">
      <c r="C51" t="s">
        <v>377</v>
      </c>
      <c r="D51" t="s">
        <v>378</v>
      </c>
      <c r="E51">
        <v>8</v>
      </c>
      <c r="F51" t="s">
        <v>357</v>
      </c>
      <c r="G51" t="s">
        <v>379</v>
      </c>
      <c r="K51" t="s">
        <v>156</v>
      </c>
      <c r="L51" t="s">
        <v>142</v>
      </c>
    </row>
    <row r="52" spans="3:12" x14ac:dyDescent="0.25">
      <c r="C52" t="s">
        <v>380</v>
      </c>
      <c r="D52" t="s">
        <v>381</v>
      </c>
      <c r="E52">
        <v>9</v>
      </c>
      <c r="F52" t="s">
        <v>357</v>
      </c>
      <c r="G52" t="s">
        <v>382</v>
      </c>
      <c r="K52" t="s">
        <v>383</v>
      </c>
      <c r="L52" t="s">
        <v>150</v>
      </c>
    </row>
    <row r="53" spans="3:12" x14ac:dyDescent="0.25">
      <c r="C53" t="s">
        <v>384</v>
      </c>
      <c r="D53" t="s">
        <v>385</v>
      </c>
      <c r="E53">
        <v>10</v>
      </c>
      <c r="F53" t="s">
        <v>357</v>
      </c>
      <c r="G53" t="s">
        <v>386</v>
      </c>
      <c r="K53" t="s">
        <v>387</v>
      </c>
      <c r="L53" t="s">
        <v>158</v>
      </c>
    </row>
    <row r="54" spans="3:12" x14ac:dyDescent="0.25">
      <c r="C54" t="s">
        <v>388</v>
      </c>
      <c r="D54" t="s">
        <v>389</v>
      </c>
      <c r="E54">
        <v>11</v>
      </c>
      <c r="F54" t="s">
        <v>357</v>
      </c>
      <c r="G54" t="s">
        <v>390</v>
      </c>
      <c r="K54" t="s">
        <v>391</v>
      </c>
      <c r="L54" t="s">
        <v>166</v>
      </c>
    </row>
    <row r="55" spans="3:12" x14ac:dyDescent="0.25">
      <c r="C55" t="s">
        <v>392</v>
      </c>
      <c r="D55" t="s">
        <v>393</v>
      </c>
      <c r="E55">
        <v>12</v>
      </c>
      <c r="F55" t="s">
        <v>357</v>
      </c>
      <c r="G55" t="s">
        <v>394</v>
      </c>
      <c r="K55" t="s">
        <v>395</v>
      </c>
      <c r="L55" t="s">
        <v>174</v>
      </c>
    </row>
    <row r="56" spans="3:12" x14ac:dyDescent="0.25">
      <c r="C56" t="s">
        <v>396</v>
      </c>
      <c r="D56" t="s">
        <v>397</v>
      </c>
      <c r="E56">
        <v>13</v>
      </c>
      <c r="F56" t="s">
        <v>357</v>
      </c>
      <c r="G56" t="s">
        <v>398</v>
      </c>
      <c r="K56" t="s">
        <v>399</v>
      </c>
      <c r="L56" t="s">
        <v>181</v>
      </c>
    </row>
    <row r="57" spans="3:12" x14ac:dyDescent="0.25">
      <c r="C57" t="s">
        <v>400</v>
      </c>
      <c r="D57" t="s">
        <v>401</v>
      </c>
      <c r="E57">
        <v>14</v>
      </c>
      <c r="F57" t="s">
        <v>357</v>
      </c>
      <c r="G57" t="s">
        <v>402</v>
      </c>
      <c r="K57" t="s">
        <v>403</v>
      </c>
      <c r="L57" t="s">
        <v>188</v>
      </c>
    </row>
    <row r="58" spans="3:12" x14ac:dyDescent="0.25">
      <c r="C58" t="s">
        <v>404</v>
      </c>
      <c r="D58" t="s">
        <v>405</v>
      </c>
      <c r="E58">
        <v>15</v>
      </c>
      <c r="F58" t="s">
        <v>357</v>
      </c>
      <c r="G58" t="s">
        <v>406</v>
      </c>
      <c r="K58" t="s">
        <v>407</v>
      </c>
      <c r="L58" t="s">
        <v>195</v>
      </c>
    </row>
    <row r="59" spans="3:12" x14ac:dyDescent="0.25">
      <c r="C59" t="s">
        <v>408</v>
      </c>
      <c r="D59" t="s">
        <v>409</v>
      </c>
      <c r="E59">
        <v>16</v>
      </c>
      <c r="F59" t="s">
        <v>357</v>
      </c>
      <c r="G59" t="s">
        <v>410</v>
      </c>
      <c r="K59" t="s">
        <v>411</v>
      </c>
      <c r="L59" t="s">
        <v>202</v>
      </c>
    </row>
    <row r="60" spans="3:12" x14ac:dyDescent="0.25">
      <c r="C60" t="s">
        <v>412</v>
      </c>
      <c r="D60" t="s">
        <v>413</v>
      </c>
      <c r="E60">
        <v>17</v>
      </c>
      <c r="F60" t="s">
        <v>357</v>
      </c>
      <c r="G60" t="s">
        <v>414</v>
      </c>
      <c r="K60" t="s">
        <v>415</v>
      </c>
      <c r="L60" t="s">
        <v>209</v>
      </c>
    </row>
    <row r="61" spans="3:12" x14ac:dyDescent="0.25">
      <c r="C61" t="s">
        <v>416</v>
      </c>
      <c r="D61" t="s">
        <v>417</v>
      </c>
      <c r="E61">
        <v>18</v>
      </c>
      <c r="F61" t="s">
        <v>357</v>
      </c>
      <c r="G61" t="s">
        <v>418</v>
      </c>
      <c r="K61" t="s">
        <v>419</v>
      </c>
      <c r="L61" t="s">
        <v>216</v>
      </c>
    </row>
    <row r="62" spans="3:12" x14ac:dyDescent="0.25">
      <c r="C62" t="s">
        <v>420</v>
      </c>
      <c r="D62" t="s">
        <v>421</v>
      </c>
      <c r="E62">
        <v>19</v>
      </c>
      <c r="F62" t="s">
        <v>357</v>
      </c>
      <c r="G62" t="s">
        <v>422</v>
      </c>
      <c r="K62" t="s">
        <v>423</v>
      </c>
      <c r="L62" t="s">
        <v>223</v>
      </c>
    </row>
    <row r="63" spans="3:12" x14ac:dyDescent="0.25">
      <c r="C63" t="s">
        <v>424</v>
      </c>
      <c r="D63" t="s">
        <v>425</v>
      </c>
      <c r="E63">
        <v>20</v>
      </c>
      <c r="F63" t="s">
        <v>357</v>
      </c>
      <c r="G63" t="s">
        <v>426</v>
      </c>
      <c r="K63" t="s">
        <v>427</v>
      </c>
      <c r="L63" t="s">
        <v>229</v>
      </c>
    </row>
    <row r="64" spans="3:12" x14ac:dyDescent="0.25">
      <c r="C64" t="s">
        <v>428</v>
      </c>
      <c r="D64" t="s">
        <v>429</v>
      </c>
      <c r="E64">
        <v>21</v>
      </c>
      <c r="F64" t="s">
        <v>357</v>
      </c>
      <c r="G64" t="s">
        <v>430</v>
      </c>
      <c r="K64" t="s">
        <v>431</v>
      </c>
      <c r="L64" t="s">
        <v>235</v>
      </c>
    </row>
    <row r="65" spans="3:12" x14ac:dyDescent="0.25">
      <c r="C65" t="s">
        <v>432</v>
      </c>
      <c r="D65" t="s">
        <v>433</v>
      </c>
      <c r="E65">
        <v>22</v>
      </c>
      <c r="F65" t="s">
        <v>357</v>
      </c>
      <c r="G65" t="s">
        <v>434</v>
      </c>
      <c r="K65" t="s">
        <v>435</v>
      </c>
      <c r="L65" t="s">
        <v>241</v>
      </c>
    </row>
    <row r="66" spans="3:12" x14ac:dyDescent="0.25">
      <c r="C66" t="s">
        <v>436</v>
      </c>
      <c r="D66" t="s">
        <v>437</v>
      </c>
      <c r="E66">
        <v>23</v>
      </c>
      <c r="F66" t="s">
        <v>357</v>
      </c>
      <c r="G66" t="s">
        <v>438</v>
      </c>
      <c r="K66" t="s">
        <v>439</v>
      </c>
      <c r="L66" t="s">
        <v>247</v>
      </c>
    </row>
    <row r="67" spans="3:12" x14ac:dyDescent="0.25">
      <c r="C67" t="s">
        <v>440</v>
      </c>
      <c r="D67" t="s">
        <v>441</v>
      </c>
      <c r="E67">
        <v>25</v>
      </c>
      <c r="F67" t="s">
        <v>357</v>
      </c>
      <c r="G67" t="s">
        <v>442</v>
      </c>
      <c r="K67" t="s">
        <v>443</v>
      </c>
      <c r="L67" t="s">
        <v>253</v>
      </c>
    </row>
    <row r="68" spans="3:12" x14ac:dyDescent="0.25">
      <c r="C68" t="s">
        <v>444</v>
      </c>
      <c r="D68" t="s">
        <v>445</v>
      </c>
      <c r="E68">
        <v>27</v>
      </c>
      <c r="F68" t="s">
        <v>357</v>
      </c>
      <c r="G68" t="s">
        <v>446</v>
      </c>
      <c r="K68" t="s">
        <v>447</v>
      </c>
      <c r="L68" t="s">
        <v>259</v>
      </c>
    </row>
    <row r="69" spans="3:12" x14ac:dyDescent="0.25">
      <c r="C69" t="s">
        <v>448</v>
      </c>
      <c r="D69" t="s">
        <v>449</v>
      </c>
      <c r="E69">
        <v>28</v>
      </c>
      <c r="F69" t="s">
        <v>357</v>
      </c>
      <c r="G69" t="s">
        <v>450</v>
      </c>
      <c r="K69" t="s">
        <v>451</v>
      </c>
      <c r="L69" t="s">
        <v>265</v>
      </c>
    </row>
    <row r="70" spans="3:12" x14ac:dyDescent="0.25">
      <c r="C70" t="s">
        <v>452</v>
      </c>
      <c r="D70" t="s">
        <v>453</v>
      </c>
      <c r="E70">
        <v>30</v>
      </c>
      <c r="F70" t="s">
        <v>357</v>
      </c>
      <c r="G70" t="s">
        <v>454</v>
      </c>
      <c r="K70" t="s">
        <v>455</v>
      </c>
      <c r="L70" t="s">
        <v>270</v>
      </c>
    </row>
    <row r="71" spans="3:12" x14ac:dyDescent="0.25">
      <c r="C71" t="s">
        <v>456</v>
      </c>
      <c r="D71" t="s">
        <v>457</v>
      </c>
      <c r="E71">
        <v>31</v>
      </c>
      <c r="F71" t="s">
        <v>357</v>
      </c>
      <c r="G71" t="s">
        <v>458</v>
      </c>
      <c r="K71" t="s">
        <v>459</v>
      </c>
      <c r="L71" t="s">
        <v>275</v>
      </c>
    </row>
    <row r="72" spans="3:12" x14ac:dyDescent="0.25">
      <c r="C72" t="s">
        <v>460</v>
      </c>
      <c r="D72" t="s">
        <v>461</v>
      </c>
      <c r="E72">
        <v>32</v>
      </c>
      <c r="F72" t="s">
        <v>357</v>
      </c>
      <c r="G72" t="s">
        <v>462</v>
      </c>
      <c r="K72" t="s">
        <v>463</v>
      </c>
      <c r="L72" t="s">
        <v>280</v>
      </c>
    </row>
    <row r="73" spans="3:12" x14ac:dyDescent="0.25">
      <c r="C73" t="s">
        <v>464</v>
      </c>
      <c r="D73" t="s">
        <v>465</v>
      </c>
      <c r="E73">
        <v>33</v>
      </c>
      <c r="F73" t="s">
        <v>357</v>
      </c>
      <c r="G73" t="s">
        <v>466</v>
      </c>
      <c r="K73" t="s">
        <v>467</v>
      </c>
      <c r="L73" t="s">
        <v>285</v>
      </c>
    </row>
    <row r="74" spans="3:12" x14ac:dyDescent="0.25">
      <c r="C74" t="s">
        <v>468</v>
      </c>
      <c r="D74" t="s">
        <v>469</v>
      </c>
      <c r="E74">
        <v>34</v>
      </c>
      <c r="F74" t="s">
        <v>357</v>
      </c>
      <c r="G74" t="s">
        <v>470</v>
      </c>
      <c r="K74" t="s">
        <v>471</v>
      </c>
      <c r="L74" t="s">
        <v>290</v>
      </c>
    </row>
    <row r="75" spans="3:12" x14ac:dyDescent="0.25">
      <c r="C75" t="s">
        <v>472</v>
      </c>
      <c r="D75" t="s">
        <v>473</v>
      </c>
      <c r="E75">
        <v>37</v>
      </c>
      <c r="F75" t="s">
        <v>357</v>
      </c>
      <c r="G75" t="s">
        <v>474</v>
      </c>
      <c r="K75" t="s">
        <v>475</v>
      </c>
      <c r="L75" t="s">
        <v>295</v>
      </c>
    </row>
    <row r="76" spans="3:12" x14ac:dyDescent="0.25">
      <c r="C76" t="s">
        <v>476</v>
      </c>
      <c r="D76" t="s">
        <v>477</v>
      </c>
      <c r="E76">
        <v>38</v>
      </c>
      <c r="F76" t="s">
        <v>357</v>
      </c>
      <c r="G76" t="s">
        <v>478</v>
      </c>
      <c r="K76" t="s">
        <v>479</v>
      </c>
      <c r="L76" t="s">
        <v>300</v>
      </c>
    </row>
    <row r="77" spans="3:12" x14ac:dyDescent="0.25">
      <c r="C77" t="s">
        <v>480</v>
      </c>
      <c r="D77" t="s">
        <v>481</v>
      </c>
      <c r="E77">
        <v>39</v>
      </c>
      <c r="F77" t="s">
        <v>357</v>
      </c>
      <c r="G77" t="s">
        <v>482</v>
      </c>
      <c r="K77" t="s">
        <v>483</v>
      </c>
      <c r="L77" t="s">
        <v>305</v>
      </c>
    </row>
    <row r="78" spans="3:12" x14ac:dyDescent="0.25">
      <c r="C78" t="s">
        <v>484</v>
      </c>
      <c r="D78" t="s">
        <v>485</v>
      </c>
      <c r="E78">
        <v>41</v>
      </c>
      <c r="F78" t="s">
        <v>357</v>
      </c>
      <c r="G78" t="s">
        <v>486</v>
      </c>
      <c r="K78" t="s">
        <v>487</v>
      </c>
      <c r="L78" t="s">
        <v>310</v>
      </c>
    </row>
    <row r="79" spans="3:12" x14ac:dyDescent="0.25">
      <c r="C79" t="s">
        <v>488</v>
      </c>
      <c r="D79" t="s">
        <v>489</v>
      </c>
      <c r="E79">
        <v>42</v>
      </c>
      <c r="F79" t="s">
        <v>357</v>
      </c>
      <c r="G79" t="s">
        <v>490</v>
      </c>
      <c r="K79" t="s">
        <v>491</v>
      </c>
      <c r="L79" t="s">
        <v>315</v>
      </c>
    </row>
    <row r="80" spans="3:12" x14ac:dyDescent="0.25">
      <c r="C80" t="s">
        <v>492</v>
      </c>
      <c r="D80" t="s">
        <v>493</v>
      </c>
      <c r="E80">
        <v>43</v>
      </c>
      <c r="F80" t="s">
        <v>357</v>
      </c>
      <c r="G80" t="s">
        <v>494</v>
      </c>
      <c r="K80" t="s">
        <v>495</v>
      </c>
      <c r="L80" t="s">
        <v>320</v>
      </c>
    </row>
    <row r="81" spans="3:12" x14ac:dyDescent="0.25">
      <c r="C81" t="s">
        <v>496</v>
      </c>
      <c r="D81" t="s">
        <v>497</v>
      </c>
      <c r="E81">
        <v>45</v>
      </c>
      <c r="F81" t="s">
        <v>357</v>
      </c>
      <c r="G81" t="s">
        <v>498</v>
      </c>
      <c r="K81" t="s">
        <v>499</v>
      </c>
      <c r="L81" t="s">
        <v>325</v>
      </c>
    </row>
    <row r="82" spans="3:12" x14ac:dyDescent="0.25">
      <c r="C82" t="s">
        <v>500</v>
      </c>
      <c r="D82" t="s">
        <v>501</v>
      </c>
      <c r="E82">
        <v>46</v>
      </c>
      <c r="F82" t="s">
        <v>357</v>
      </c>
      <c r="G82" t="s">
        <v>502</v>
      </c>
      <c r="K82" t="s">
        <v>503</v>
      </c>
      <c r="L82" t="s">
        <v>330</v>
      </c>
    </row>
    <row r="83" spans="3:12" x14ac:dyDescent="0.25">
      <c r="C83" t="s">
        <v>504</v>
      </c>
      <c r="D83" t="s">
        <v>505</v>
      </c>
      <c r="E83">
        <v>47</v>
      </c>
      <c r="F83" t="s">
        <v>357</v>
      </c>
      <c r="G83" t="s">
        <v>506</v>
      </c>
      <c r="K83" t="s">
        <v>507</v>
      </c>
      <c r="L83" t="s">
        <v>335</v>
      </c>
    </row>
    <row r="84" spans="3:12" x14ac:dyDescent="0.25">
      <c r="C84" t="s">
        <v>508</v>
      </c>
      <c r="D84" t="s">
        <v>509</v>
      </c>
      <c r="E84">
        <v>48</v>
      </c>
      <c r="F84" t="s">
        <v>357</v>
      </c>
      <c r="G84" t="s">
        <v>510</v>
      </c>
      <c r="K84" t="s">
        <v>511</v>
      </c>
      <c r="L84" t="s">
        <v>340</v>
      </c>
    </row>
    <row r="85" spans="3:12" x14ac:dyDescent="0.25">
      <c r="C85" t="s">
        <v>512</v>
      </c>
      <c r="D85" t="s">
        <v>513</v>
      </c>
      <c r="E85">
        <v>49</v>
      </c>
      <c r="F85" t="s">
        <v>357</v>
      </c>
      <c r="G85" t="s">
        <v>514</v>
      </c>
      <c r="K85" t="s">
        <v>515</v>
      </c>
      <c r="L85" t="s">
        <v>110</v>
      </c>
    </row>
    <row r="86" spans="3:12" x14ac:dyDescent="0.25">
      <c r="C86" t="s">
        <v>516</v>
      </c>
      <c r="D86" t="s">
        <v>517</v>
      </c>
      <c r="E86">
        <v>51</v>
      </c>
      <c r="F86" t="s">
        <v>357</v>
      </c>
      <c r="G86" t="s">
        <v>518</v>
      </c>
      <c r="K86" t="s">
        <v>519</v>
      </c>
      <c r="L86" t="s">
        <v>349</v>
      </c>
    </row>
    <row r="87" spans="3:12" x14ac:dyDescent="0.25">
      <c r="C87" t="s">
        <v>520</v>
      </c>
      <c r="D87" t="s">
        <v>521</v>
      </c>
      <c r="E87">
        <v>52</v>
      </c>
      <c r="F87" t="s">
        <v>357</v>
      </c>
      <c r="G87" t="s">
        <v>522</v>
      </c>
      <c r="K87" t="s">
        <v>523</v>
      </c>
      <c r="L87" t="s">
        <v>354</v>
      </c>
    </row>
    <row r="88" spans="3:12" x14ac:dyDescent="0.25">
      <c r="C88" t="s">
        <v>524</v>
      </c>
      <c r="D88" t="s">
        <v>525</v>
      </c>
      <c r="E88">
        <v>53</v>
      </c>
      <c r="F88" t="s">
        <v>357</v>
      </c>
      <c r="G88" t="s">
        <v>526</v>
      </c>
      <c r="K88" t="s">
        <v>527</v>
      </c>
      <c r="L88" t="s">
        <v>359</v>
      </c>
    </row>
    <row r="89" spans="3:12" x14ac:dyDescent="0.25">
      <c r="C89" t="s">
        <v>528</v>
      </c>
      <c r="D89" t="s">
        <v>529</v>
      </c>
      <c r="E89">
        <v>58</v>
      </c>
      <c r="F89" t="s">
        <v>357</v>
      </c>
      <c r="G89" t="s">
        <v>530</v>
      </c>
      <c r="K89" t="s">
        <v>531</v>
      </c>
      <c r="L89" t="s">
        <v>363</v>
      </c>
    </row>
    <row r="90" spans="3:12" x14ac:dyDescent="0.25">
      <c r="C90" t="s">
        <v>532</v>
      </c>
      <c r="D90" t="s">
        <v>533</v>
      </c>
      <c r="E90">
        <v>59</v>
      </c>
      <c r="F90" t="s">
        <v>357</v>
      </c>
      <c r="G90" t="s">
        <v>534</v>
      </c>
      <c r="K90" t="s">
        <v>535</v>
      </c>
      <c r="L90" t="s">
        <v>208</v>
      </c>
    </row>
    <row r="91" spans="3:12" x14ac:dyDescent="0.25">
      <c r="C91" t="s">
        <v>536</v>
      </c>
      <c r="D91" t="s">
        <v>537</v>
      </c>
      <c r="E91">
        <v>64</v>
      </c>
      <c r="F91" t="s">
        <v>357</v>
      </c>
      <c r="G91" t="s">
        <v>538</v>
      </c>
      <c r="K91" t="s">
        <v>539</v>
      </c>
      <c r="L91" t="s">
        <v>140</v>
      </c>
    </row>
    <row r="92" spans="3:12" x14ac:dyDescent="0.25">
      <c r="C92" t="s">
        <v>540</v>
      </c>
      <c r="D92" t="s">
        <v>541</v>
      </c>
      <c r="E92">
        <v>66</v>
      </c>
      <c r="F92" t="s">
        <v>357</v>
      </c>
      <c r="G92" t="s">
        <v>542</v>
      </c>
      <c r="K92" t="s">
        <v>543</v>
      </c>
      <c r="L92" t="s">
        <v>157</v>
      </c>
    </row>
    <row r="93" spans="3:12" x14ac:dyDescent="0.25">
      <c r="C93" t="s">
        <v>544</v>
      </c>
      <c r="D93" t="s">
        <v>545</v>
      </c>
      <c r="E93">
        <v>68</v>
      </c>
      <c r="F93" t="s">
        <v>357</v>
      </c>
      <c r="G93" t="s">
        <v>546</v>
      </c>
      <c r="K93" t="s">
        <v>547</v>
      </c>
      <c r="L93" t="s">
        <v>376</v>
      </c>
    </row>
    <row r="94" spans="3:12" x14ac:dyDescent="0.25">
      <c r="C94" t="s">
        <v>548</v>
      </c>
      <c r="D94" t="s">
        <v>549</v>
      </c>
      <c r="E94">
        <v>72</v>
      </c>
      <c r="F94" t="s">
        <v>357</v>
      </c>
      <c r="G94" t="s">
        <v>550</v>
      </c>
      <c r="K94" t="s">
        <v>551</v>
      </c>
      <c r="L94" t="s">
        <v>156</v>
      </c>
    </row>
    <row r="95" spans="3:12" x14ac:dyDescent="0.25">
      <c r="C95" t="s">
        <v>552</v>
      </c>
      <c r="D95" t="s">
        <v>553</v>
      </c>
      <c r="E95">
        <v>73</v>
      </c>
      <c r="F95" t="s">
        <v>357</v>
      </c>
      <c r="G95" t="s">
        <v>554</v>
      </c>
      <c r="K95" t="s">
        <v>555</v>
      </c>
      <c r="L95" t="s">
        <v>383</v>
      </c>
    </row>
    <row r="96" spans="3:12" x14ac:dyDescent="0.25">
      <c r="C96" t="s">
        <v>556</v>
      </c>
      <c r="D96" t="s">
        <v>115</v>
      </c>
      <c r="E96">
        <v>74</v>
      </c>
      <c r="F96" t="s">
        <v>357</v>
      </c>
      <c r="G96" t="s">
        <v>557</v>
      </c>
      <c r="K96" t="s">
        <v>558</v>
      </c>
      <c r="L96" t="s">
        <v>387</v>
      </c>
    </row>
    <row r="97" spans="3:12" x14ac:dyDescent="0.25">
      <c r="C97" t="s">
        <v>559</v>
      </c>
      <c r="D97" t="s">
        <v>559</v>
      </c>
      <c r="E97">
        <v>75</v>
      </c>
      <c r="F97" t="s">
        <v>357</v>
      </c>
      <c r="G97" t="s">
        <v>560</v>
      </c>
      <c r="K97" t="s">
        <v>561</v>
      </c>
      <c r="L97" t="s">
        <v>391</v>
      </c>
    </row>
    <row r="98" spans="3:12" x14ac:dyDescent="0.25">
      <c r="C98" t="s">
        <v>562</v>
      </c>
      <c r="D98" t="s">
        <v>563</v>
      </c>
      <c r="E98">
        <v>76</v>
      </c>
      <c r="F98" t="s">
        <v>357</v>
      </c>
      <c r="G98" t="s">
        <v>564</v>
      </c>
      <c r="K98" t="s">
        <v>565</v>
      </c>
      <c r="L98" t="s">
        <v>395</v>
      </c>
    </row>
    <row r="99" spans="3:12" x14ac:dyDescent="0.25">
      <c r="C99" t="s">
        <v>566</v>
      </c>
      <c r="D99" t="s">
        <v>567</v>
      </c>
      <c r="E99">
        <v>77</v>
      </c>
      <c r="F99" t="s">
        <v>357</v>
      </c>
      <c r="G99" t="s">
        <v>568</v>
      </c>
      <c r="K99" t="s">
        <v>569</v>
      </c>
      <c r="L99" t="s">
        <v>399</v>
      </c>
    </row>
    <row r="100" spans="3:12" x14ac:dyDescent="0.25">
      <c r="C100" t="s">
        <v>570</v>
      </c>
      <c r="D100" t="s">
        <v>571</v>
      </c>
      <c r="E100">
        <v>78</v>
      </c>
      <c r="F100" t="s">
        <v>357</v>
      </c>
      <c r="G100" t="s">
        <v>572</v>
      </c>
      <c r="K100" t="s">
        <v>573</v>
      </c>
      <c r="L100" t="s">
        <v>403</v>
      </c>
    </row>
    <row r="101" spans="3:12" x14ac:dyDescent="0.25">
      <c r="C101" t="s">
        <v>574</v>
      </c>
      <c r="D101" t="s">
        <v>575</v>
      </c>
      <c r="E101">
        <v>79</v>
      </c>
      <c r="F101" t="s">
        <v>357</v>
      </c>
      <c r="G101" t="s">
        <v>576</v>
      </c>
      <c r="K101" t="s">
        <v>577</v>
      </c>
      <c r="L101" t="s">
        <v>407</v>
      </c>
    </row>
    <row r="102" spans="3:12" x14ac:dyDescent="0.25">
      <c r="C102" t="s">
        <v>578</v>
      </c>
      <c r="D102" t="s">
        <v>579</v>
      </c>
      <c r="E102">
        <v>80</v>
      </c>
      <c r="F102" t="s">
        <v>357</v>
      </c>
      <c r="G102" t="s">
        <v>580</v>
      </c>
      <c r="K102" t="s">
        <v>581</v>
      </c>
      <c r="L102" t="s">
        <v>411</v>
      </c>
    </row>
    <row r="103" spans="3:12" x14ac:dyDescent="0.25">
      <c r="C103" t="s">
        <v>582</v>
      </c>
      <c r="D103" t="s">
        <v>583</v>
      </c>
      <c r="E103">
        <v>81</v>
      </c>
      <c r="F103" t="s">
        <v>357</v>
      </c>
      <c r="G103" t="s">
        <v>584</v>
      </c>
      <c r="K103" t="s">
        <v>585</v>
      </c>
      <c r="L103" t="s">
        <v>415</v>
      </c>
    </row>
    <row r="104" spans="3:12" x14ac:dyDescent="0.25">
      <c r="C104" t="s">
        <v>586</v>
      </c>
      <c r="D104" t="s">
        <v>587</v>
      </c>
      <c r="E104">
        <v>82</v>
      </c>
      <c r="F104" t="s">
        <v>357</v>
      </c>
      <c r="G104" t="s">
        <v>588</v>
      </c>
      <c r="K104" t="s">
        <v>589</v>
      </c>
      <c r="L104" t="s">
        <v>419</v>
      </c>
    </row>
    <row r="105" spans="3:12" x14ac:dyDescent="0.25">
      <c r="C105" t="s">
        <v>590</v>
      </c>
      <c r="D105" t="s">
        <v>591</v>
      </c>
      <c r="E105">
        <v>83</v>
      </c>
      <c r="F105" t="s">
        <v>357</v>
      </c>
      <c r="G105" t="s">
        <v>592</v>
      </c>
      <c r="K105" t="s">
        <v>593</v>
      </c>
      <c r="L105" t="s">
        <v>423</v>
      </c>
    </row>
    <row r="106" spans="3:12" x14ac:dyDescent="0.25">
      <c r="C106" t="s">
        <v>594</v>
      </c>
      <c r="D106" t="s">
        <v>595</v>
      </c>
      <c r="E106">
        <v>84</v>
      </c>
      <c r="F106" t="s">
        <v>357</v>
      </c>
      <c r="G106" t="s">
        <v>596</v>
      </c>
      <c r="K106" t="s">
        <v>597</v>
      </c>
      <c r="L106" t="s">
        <v>427</v>
      </c>
    </row>
    <row r="107" spans="3:12" x14ac:dyDescent="0.25">
      <c r="C107" t="s">
        <v>598</v>
      </c>
      <c r="D107" t="s">
        <v>599</v>
      </c>
      <c r="E107">
        <v>85</v>
      </c>
      <c r="F107" t="s">
        <v>357</v>
      </c>
      <c r="G107" t="s">
        <v>600</v>
      </c>
      <c r="K107" t="s">
        <v>601</v>
      </c>
      <c r="L107" t="s">
        <v>431</v>
      </c>
    </row>
    <row r="108" spans="3:12" x14ac:dyDescent="0.25">
      <c r="C108" t="s">
        <v>602</v>
      </c>
      <c r="D108" t="s">
        <v>603</v>
      </c>
      <c r="E108">
        <v>86</v>
      </c>
      <c r="F108" t="s">
        <v>357</v>
      </c>
      <c r="G108" t="s">
        <v>604</v>
      </c>
      <c r="K108" t="s">
        <v>605</v>
      </c>
      <c r="L108" t="s">
        <v>435</v>
      </c>
    </row>
    <row r="109" spans="3:12" x14ac:dyDescent="0.25">
      <c r="C109" t="s">
        <v>606</v>
      </c>
      <c r="D109" t="s">
        <v>607</v>
      </c>
      <c r="E109">
        <v>87</v>
      </c>
      <c r="F109" t="s">
        <v>357</v>
      </c>
      <c r="G109" t="s">
        <v>608</v>
      </c>
      <c r="K109" t="s">
        <v>609</v>
      </c>
      <c r="L109" t="s">
        <v>439</v>
      </c>
    </row>
    <row r="110" spans="3:12" x14ac:dyDescent="0.25">
      <c r="C110" t="s">
        <v>610</v>
      </c>
      <c r="D110" t="s">
        <v>611</v>
      </c>
      <c r="E110">
        <v>89</v>
      </c>
      <c r="F110" t="s">
        <v>357</v>
      </c>
      <c r="G110" t="s">
        <v>612</v>
      </c>
      <c r="K110" t="s">
        <v>613</v>
      </c>
      <c r="L110" t="s">
        <v>443</v>
      </c>
    </row>
    <row r="111" spans="3:12" x14ac:dyDescent="0.25">
      <c r="C111" t="s">
        <v>614</v>
      </c>
      <c r="D111" t="s">
        <v>615</v>
      </c>
      <c r="E111">
        <v>90</v>
      </c>
      <c r="F111" t="s">
        <v>357</v>
      </c>
      <c r="G111" t="s">
        <v>616</v>
      </c>
      <c r="K111" t="s">
        <v>617</v>
      </c>
      <c r="L111" t="s">
        <v>447</v>
      </c>
    </row>
    <row r="112" spans="3:12" x14ac:dyDescent="0.25">
      <c r="C112" t="s">
        <v>618</v>
      </c>
      <c r="D112" t="s">
        <v>619</v>
      </c>
      <c r="E112">
        <v>91</v>
      </c>
      <c r="F112" t="s">
        <v>357</v>
      </c>
      <c r="G112" t="s">
        <v>620</v>
      </c>
      <c r="K112" t="s">
        <v>621</v>
      </c>
      <c r="L112" t="s">
        <v>451</v>
      </c>
    </row>
    <row r="113" spans="3:12" x14ac:dyDescent="0.25">
      <c r="C113" t="s">
        <v>622</v>
      </c>
      <c r="D113" t="s">
        <v>623</v>
      </c>
      <c r="E113">
        <v>92</v>
      </c>
      <c r="F113" t="s">
        <v>357</v>
      </c>
      <c r="G113" t="s">
        <v>624</v>
      </c>
      <c r="K113" t="s">
        <v>625</v>
      </c>
      <c r="L113" t="s">
        <v>455</v>
      </c>
    </row>
    <row r="114" spans="3:12" x14ac:dyDescent="0.25">
      <c r="C114" t="s">
        <v>626</v>
      </c>
      <c r="D114" t="s">
        <v>627</v>
      </c>
      <c r="E114">
        <v>94</v>
      </c>
      <c r="F114" t="s">
        <v>357</v>
      </c>
      <c r="G114" t="s">
        <v>628</v>
      </c>
      <c r="K114" t="s">
        <v>629</v>
      </c>
      <c r="L114" t="s">
        <v>459</v>
      </c>
    </row>
    <row r="115" spans="3:12" x14ac:dyDescent="0.25">
      <c r="C115" t="s">
        <v>630</v>
      </c>
      <c r="D115" t="s">
        <v>631</v>
      </c>
      <c r="E115">
        <v>95</v>
      </c>
      <c r="F115" t="s">
        <v>357</v>
      </c>
      <c r="G115" t="s">
        <v>632</v>
      </c>
      <c r="K115" t="s">
        <v>633</v>
      </c>
      <c r="L115" t="s">
        <v>463</v>
      </c>
    </row>
    <row r="116" spans="3:12" x14ac:dyDescent="0.25">
      <c r="C116" t="s">
        <v>634</v>
      </c>
      <c r="D116" t="s">
        <v>635</v>
      </c>
      <c r="E116">
        <v>96</v>
      </c>
      <c r="F116" t="s">
        <v>357</v>
      </c>
      <c r="G116" t="s">
        <v>636</v>
      </c>
      <c r="K116" t="s">
        <v>637</v>
      </c>
      <c r="L116" t="s">
        <v>467</v>
      </c>
    </row>
    <row r="117" spans="3:12" x14ac:dyDescent="0.25">
      <c r="D117" t="s">
        <v>123</v>
      </c>
      <c r="E117">
        <v>97</v>
      </c>
      <c r="F117" t="s">
        <v>357</v>
      </c>
      <c r="G117" t="s">
        <v>638</v>
      </c>
      <c r="K117" t="s">
        <v>639</v>
      </c>
      <c r="L117" t="s">
        <v>471</v>
      </c>
    </row>
    <row r="118" spans="3:12" x14ac:dyDescent="0.25">
      <c r="D118" t="s">
        <v>133</v>
      </c>
      <c r="E118">
        <v>98</v>
      </c>
      <c r="F118" t="s">
        <v>357</v>
      </c>
      <c r="G118" t="s">
        <v>640</v>
      </c>
      <c r="K118" t="s">
        <v>641</v>
      </c>
      <c r="L118" t="s">
        <v>475</v>
      </c>
    </row>
    <row r="119" spans="3:12" x14ac:dyDescent="0.25">
      <c r="E119">
        <v>99</v>
      </c>
      <c r="F119" t="s">
        <v>357</v>
      </c>
      <c r="G119" t="s">
        <v>642</v>
      </c>
      <c r="K119" t="s">
        <v>643</v>
      </c>
      <c r="L119" t="s">
        <v>479</v>
      </c>
    </row>
    <row r="120" spans="3:12" x14ac:dyDescent="0.25">
      <c r="E120">
        <v>100</v>
      </c>
      <c r="F120" t="s">
        <v>357</v>
      </c>
      <c r="G120" t="s">
        <v>644</v>
      </c>
      <c r="K120" t="s">
        <v>645</v>
      </c>
      <c r="L120" t="s">
        <v>483</v>
      </c>
    </row>
    <row r="121" spans="3:12" x14ac:dyDescent="0.25">
      <c r="E121">
        <v>101</v>
      </c>
      <c r="F121" t="s">
        <v>357</v>
      </c>
      <c r="G121" t="s">
        <v>646</v>
      </c>
      <c r="K121" t="s">
        <v>647</v>
      </c>
      <c r="L121" t="s">
        <v>487</v>
      </c>
    </row>
    <row r="122" spans="3:12" x14ac:dyDescent="0.25">
      <c r="E122">
        <v>102</v>
      </c>
      <c r="F122" t="s">
        <v>357</v>
      </c>
      <c r="G122" t="s">
        <v>648</v>
      </c>
      <c r="K122" t="s">
        <v>649</v>
      </c>
      <c r="L122" t="s">
        <v>491</v>
      </c>
    </row>
    <row r="123" spans="3:12" x14ac:dyDescent="0.25">
      <c r="E123">
        <v>103</v>
      </c>
      <c r="F123" t="s">
        <v>357</v>
      </c>
      <c r="G123" t="s">
        <v>650</v>
      </c>
      <c r="K123" t="s">
        <v>651</v>
      </c>
      <c r="L123" t="s">
        <v>495</v>
      </c>
    </row>
    <row r="124" spans="3:12" x14ac:dyDescent="0.25">
      <c r="E124">
        <v>104</v>
      </c>
      <c r="F124" t="s">
        <v>357</v>
      </c>
      <c r="G124" t="s">
        <v>652</v>
      </c>
      <c r="K124" t="s">
        <v>653</v>
      </c>
      <c r="L124" t="s">
        <v>499</v>
      </c>
    </row>
    <row r="125" spans="3:12" x14ac:dyDescent="0.25">
      <c r="E125">
        <v>105</v>
      </c>
      <c r="F125" t="s">
        <v>357</v>
      </c>
      <c r="G125" t="s">
        <v>654</v>
      </c>
      <c r="K125" t="s">
        <v>655</v>
      </c>
      <c r="L125" t="s">
        <v>503</v>
      </c>
    </row>
    <row r="126" spans="3:12" x14ac:dyDescent="0.25">
      <c r="E126">
        <v>106</v>
      </c>
      <c r="F126" t="s">
        <v>357</v>
      </c>
      <c r="G126" t="s">
        <v>656</v>
      </c>
      <c r="K126" t="s">
        <v>657</v>
      </c>
      <c r="L126" t="s">
        <v>507</v>
      </c>
    </row>
    <row r="127" spans="3:12" x14ac:dyDescent="0.25">
      <c r="E127">
        <v>107</v>
      </c>
      <c r="F127" t="s">
        <v>357</v>
      </c>
      <c r="G127" t="s">
        <v>658</v>
      </c>
      <c r="K127" t="s">
        <v>659</v>
      </c>
      <c r="L127" t="s">
        <v>511</v>
      </c>
    </row>
    <row r="128" spans="3:12" x14ac:dyDescent="0.25">
      <c r="E128">
        <v>108</v>
      </c>
      <c r="F128" t="s">
        <v>357</v>
      </c>
      <c r="G128" t="s">
        <v>660</v>
      </c>
      <c r="K128" t="s">
        <v>661</v>
      </c>
      <c r="L128" t="s">
        <v>515</v>
      </c>
    </row>
    <row r="129" spans="5:12" x14ac:dyDescent="0.25">
      <c r="E129">
        <v>109</v>
      </c>
      <c r="F129" t="s">
        <v>357</v>
      </c>
      <c r="G129" t="s">
        <v>662</v>
      </c>
      <c r="K129" t="s">
        <v>663</v>
      </c>
      <c r="L129" t="s">
        <v>519</v>
      </c>
    </row>
    <row r="130" spans="5:12" x14ac:dyDescent="0.25">
      <c r="E130">
        <v>110</v>
      </c>
      <c r="F130" t="s">
        <v>357</v>
      </c>
      <c r="G130" t="s">
        <v>664</v>
      </c>
      <c r="K130" t="s">
        <v>665</v>
      </c>
      <c r="L130" t="s">
        <v>523</v>
      </c>
    </row>
    <row r="131" spans="5:12" x14ac:dyDescent="0.25">
      <c r="E131">
        <v>111</v>
      </c>
      <c r="F131" t="s">
        <v>357</v>
      </c>
      <c r="G131" t="s">
        <v>666</v>
      </c>
      <c r="K131" t="s">
        <v>667</v>
      </c>
      <c r="L131" t="s">
        <v>527</v>
      </c>
    </row>
    <row r="132" spans="5:12" x14ac:dyDescent="0.25">
      <c r="E132">
        <v>112</v>
      </c>
      <c r="F132" t="s">
        <v>357</v>
      </c>
      <c r="G132" t="s">
        <v>668</v>
      </c>
      <c r="K132" t="s">
        <v>669</v>
      </c>
      <c r="L132" t="s">
        <v>531</v>
      </c>
    </row>
    <row r="133" spans="5:12" x14ac:dyDescent="0.25">
      <c r="E133">
        <v>113</v>
      </c>
      <c r="F133" t="s">
        <v>357</v>
      </c>
      <c r="G133" t="s">
        <v>670</v>
      </c>
      <c r="K133" t="s">
        <v>671</v>
      </c>
      <c r="L133" t="s">
        <v>535</v>
      </c>
    </row>
    <row r="134" spans="5:12" x14ac:dyDescent="0.25">
      <c r="E134">
        <v>114</v>
      </c>
      <c r="F134" t="s">
        <v>357</v>
      </c>
      <c r="G134" t="s">
        <v>672</v>
      </c>
      <c r="K134" t="s">
        <v>673</v>
      </c>
      <c r="L134" t="s">
        <v>539</v>
      </c>
    </row>
    <row r="135" spans="5:12" x14ac:dyDescent="0.25">
      <c r="E135">
        <v>115</v>
      </c>
      <c r="F135" t="s">
        <v>357</v>
      </c>
      <c r="G135" t="s">
        <v>674</v>
      </c>
      <c r="K135" t="s">
        <v>675</v>
      </c>
      <c r="L135" t="s">
        <v>543</v>
      </c>
    </row>
    <row r="136" spans="5:12" x14ac:dyDescent="0.25">
      <c r="E136">
        <v>116</v>
      </c>
      <c r="F136" t="s">
        <v>357</v>
      </c>
      <c r="G136" t="s">
        <v>676</v>
      </c>
      <c r="K136" t="s">
        <v>677</v>
      </c>
      <c r="L136" t="s">
        <v>547</v>
      </c>
    </row>
    <row r="137" spans="5:12" x14ac:dyDescent="0.25">
      <c r="E137">
        <v>117</v>
      </c>
      <c r="F137" t="s">
        <v>357</v>
      </c>
      <c r="G137" t="s">
        <v>678</v>
      </c>
      <c r="K137" t="s">
        <v>679</v>
      </c>
      <c r="L137" t="s">
        <v>551</v>
      </c>
    </row>
    <row r="138" spans="5:12" x14ac:dyDescent="0.25">
      <c r="E138">
        <v>118</v>
      </c>
      <c r="F138" t="s">
        <v>357</v>
      </c>
      <c r="G138" t="s">
        <v>680</v>
      </c>
      <c r="K138" t="s">
        <v>681</v>
      </c>
      <c r="L138" t="s">
        <v>555</v>
      </c>
    </row>
    <row r="139" spans="5:12" x14ac:dyDescent="0.25">
      <c r="E139">
        <v>119</v>
      </c>
      <c r="F139" t="s">
        <v>357</v>
      </c>
      <c r="G139" t="s">
        <v>682</v>
      </c>
      <c r="K139" t="s">
        <v>683</v>
      </c>
      <c r="L139" t="s">
        <v>558</v>
      </c>
    </row>
    <row r="140" spans="5:12" x14ac:dyDescent="0.25">
      <c r="E140">
        <v>120</v>
      </c>
      <c r="F140" t="s">
        <v>357</v>
      </c>
      <c r="G140" t="s">
        <v>684</v>
      </c>
      <c r="K140" t="s">
        <v>685</v>
      </c>
      <c r="L140" t="s">
        <v>561</v>
      </c>
    </row>
    <row r="141" spans="5:12" x14ac:dyDescent="0.25">
      <c r="E141">
        <v>121</v>
      </c>
      <c r="F141" t="s">
        <v>357</v>
      </c>
      <c r="G141" t="s">
        <v>686</v>
      </c>
      <c r="K141" t="s">
        <v>687</v>
      </c>
      <c r="L141" t="s">
        <v>565</v>
      </c>
    </row>
    <row r="142" spans="5:12" x14ac:dyDescent="0.25">
      <c r="E142">
        <v>122</v>
      </c>
      <c r="F142" t="s">
        <v>357</v>
      </c>
      <c r="G142" t="s">
        <v>688</v>
      </c>
      <c r="K142" t="s">
        <v>689</v>
      </c>
      <c r="L142" t="s">
        <v>569</v>
      </c>
    </row>
    <row r="143" spans="5:12" x14ac:dyDescent="0.25">
      <c r="E143">
        <v>123</v>
      </c>
      <c r="F143" t="s">
        <v>357</v>
      </c>
      <c r="G143" t="s">
        <v>690</v>
      </c>
      <c r="K143" t="s">
        <v>691</v>
      </c>
      <c r="L143" t="s">
        <v>573</v>
      </c>
    </row>
    <row r="144" spans="5:12" x14ac:dyDescent="0.25">
      <c r="E144">
        <v>124</v>
      </c>
      <c r="F144" t="s">
        <v>357</v>
      </c>
      <c r="G144" t="s">
        <v>692</v>
      </c>
      <c r="K144" t="s">
        <v>693</v>
      </c>
      <c r="L144" t="s">
        <v>577</v>
      </c>
    </row>
    <row r="145" spans="5:12" x14ac:dyDescent="0.25">
      <c r="E145">
        <v>125</v>
      </c>
      <c r="F145" t="s">
        <v>357</v>
      </c>
      <c r="G145" t="s">
        <v>694</v>
      </c>
      <c r="K145" t="s">
        <v>695</v>
      </c>
      <c r="L145" t="s">
        <v>581</v>
      </c>
    </row>
    <row r="146" spans="5:12" x14ac:dyDescent="0.25">
      <c r="E146">
        <v>126</v>
      </c>
      <c r="F146" t="s">
        <v>357</v>
      </c>
      <c r="G146" t="s">
        <v>696</v>
      </c>
      <c r="K146" t="s">
        <v>697</v>
      </c>
      <c r="L146" t="s">
        <v>585</v>
      </c>
    </row>
    <row r="147" spans="5:12" x14ac:dyDescent="0.25">
      <c r="E147">
        <v>127</v>
      </c>
      <c r="F147" t="s">
        <v>357</v>
      </c>
      <c r="G147" t="s">
        <v>698</v>
      </c>
      <c r="K147" t="s">
        <v>699</v>
      </c>
      <c r="L147" t="s">
        <v>589</v>
      </c>
    </row>
    <row r="148" spans="5:12" x14ac:dyDescent="0.25">
      <c r="E148">
        <v>128</v>
      </c>
      <c r="F148" t="s">
        <v>357</v>
      </c>
      <c r="G148" t="s">
        <v>700</v>
      </c>
      <c r="K148" t="s">
        <v>701</v>
      </c>
      <c r="L148" t="s">
        <v>593</v>
      </c>
    </row>
    <row r="149" spans="5:12" x14ac:dyDescent="0.25">
      <c r="E149">
        <v>129</v>
      </c>
      <c r="F149" t="s">
        <v>357</v>
      </c>
      <c r="G149" t="s">
        <v>702</v>
      </c>
      <c r="K149" t="s">
        <v>703</v>
      </c>
      <c r="L149" t="s">
        <v>597</v>
      </c>
    </row>
    <row r="150" spans="5:12" x14ac:dyDescent="0.25">
      <c r="E150">
        <v>130</v>
      </c>
      <c r="F150" t="s">
        <v>357</v>
      </c>
      <c r="G150" t="s">
        <v>704</v>
      </c>
      <c r="K150" t="s">
        <v>705</v>
      </c>
      <c r="L150" t="s">
        <v>601</v>
      </c>
    </row>
    <row r="151" spans="5:12" x14ac:dyDescent="0.25">
      <c r="E151">
        <v>131</v>
      </c>
      <c r="F151" t="s">
        <v>357</v>
      </c>
      <c r="G151" t="s">
        <v>706</v>
      </c>
      <c r="K151" t="s">
        <v>707</v>
      </c>
      <c r="L151" t="s">
        <v>605</v>
      </c>
    </row>
    <row r="152" spans="5:12" x14ac:dyDescent="0.25">
      <c r="E152">
        <v>133</v>
      </c>
      <c r="F152" t="s">
        <v>357</v>
      </c>
      <c r="G152" t="s">
        <v>708</v>
      </c>
      <c r="K152" t="s">
        <v>709</v>
      </c>
      <c r="L152" t="s">
        <v>609</v>
      </c>
    </row>
    <row r="153" spans="5:12" x14ac:dyDescent="0.25">
      <c r="E153">
        <v>134</v>
      </c>
      <c r="F153" t="s">
        <v>357</v>
      </c>
      <c r="G153" t="s">
        <v>710</v>
      </c>
      <c r="K153" t="s">
        <v>711</v>
      </c>
      <c r="L153" t="s">
        <v>613</v>
      </c>
    </row>
    <row r="154" spans="5:12" x14ac:dyDescent="0.25">
      <c r="E154">
        <v>135</v>
      </c>
      <c r="F154" t="s">
        <v>357</v>
      </c>
      <c r="G154" t="s">
        <v>712</v>
      </c>
      <c r="K154" t="s">
        <v>713</v>
      </c>
      <c r="L154" t="s">
        <v>617</v>
      </c>
    </row>
    <row r="155" spans="5:12" x14ac:dyDescent="0.25">
      <c r="E155">
        <v>137</v>
      </c>
      <c r="F155" t="s">
        <v>357</v>
      </c>
      <c r="G155" t="s">
        <v>714</v>
      </c>
      <c r="K155" t="s">
        <v>715</v>
      </c>
      <c r="L155" t="s">
        <v>621</v>
      </c>
    </row>
    <row r="156" spans="5:12" x14ac:dyDescent="0.25">
      <c r="E156">
        <v>138</v>
      </c>
      <c r="F156" t="s">
        <v>357</v>
      </c>
      <c r="G156" t="s">
        <v>716</v>
      </c>
      <c r="K156" t="s">
        <v>717</v>
      </c>
      <c r="L156" t="s">
        <v>625</v>
      </c>
    </row>
    <row r="157" spans="5:12" x14ac:dyDescent="0.25">
      <c r="E157">
        <v>139</v>
      </c>
      <c r="F157" t="s">
        <v>357</v>
      </c>
      <c r="G157" t="s">
        <v>718</v>
      </c>
      <c r="K157" t="s">
        <v>719</v>
      </c>
      <c r="L157" t="s">
        <v>629</v>
      </c>
    </row>
    <row r="158" spans="5:12" x14ac:dyDescent="0.25">
      <c r="E158">
        <v>141</v>
      </c>
      <c r="F158" t="s">
        <v>357</v>
      </c>
      <c r="G158" t="s">
        <v>720</v>
      </c>
      <c r="K158" t="s">
        <v>721</v>
      </c>
      <c r="L158" t="s">
        <v>633</v>
      </c>
    </row>
    <row r="159" spans="5:12" x14ac:dyDescent="0.25">
      <c r="E159">
        <v>142</v>
      </c>
      <c r="F159" t="s">
        <v>357</v>
      </c>
      <c r="G159" t="s">
        <v>722</v>
      </c>
      <c r="K159" t="s">
        <v>723</v>
      </c>
      <c r="L159" t="s">
        <v>637</v>
      </c>
    </row>
    <row r="160" spans="5:12" x14ac:dyDescent="0.25">
      <c r="E160">
        <v>143</v>
      </c>
      <c r="F160" t="s">
        <v>357</v>
      </c>
      <c r="G160" t="s">
        <v>724</v>
      </c>
      <c r="K160" t="s">
        <v>725</v>
      </c>
      <c r="L160" t="s">
        <v>639</v>
      </c>
    </row>
    <row r="161" spans="5:12" x14ac:dyDescent="0.25">
      <c r="E161">
        <v>144</v>
      </c>
      <c r="F161" t="s">
        <v>357</v>
      </c>
      <c r="G161" t="s">
        <v>726</v>
      </c>
      <c r="K161" t="s">
        <v>727</v>
      </c>
      <c r="L161" t="s">
        <v>641</v>
      </c>
    </row>
    <row r="162" spans="5:12" x14ac:dyDescent="0.25">
      <c r="E162">
        <v>145</v>
      </c>
      <c r="F162" t="s">
        <v>357</v>
      </c>
      <c r="G162" t="s">
        <v>728</v>
      </c>
      <c r="K162" t="s">
        <v>729</v>
      </c>
      <c r="L162" t="s">
        <v>643</v>
      </c>
    </row>
    <row r="163" spans="5:12" x14ac:dyDescent="0.25">
      <c r="E163">
        <v>146</v>
      </c>
      <c r="F163" t="s">
        <v>357</v>
      </c>
      <c r="G163" t="s">
        <v>730</v>
      </c>
      <c r="K163" t="s">
        <v>731</v>
      </c>
      <c r="L163" t="s">
        <v>645</v>
      </c>
    </row>
    <row r="164" spans="5:12" x14ac:dyDescent="0.25">
      <c r="E164">
        <v>147</v>
      </c>
      <c r="F164" t="s">
        <v>357</v>
      </c>
      <c r="G164" t="s">
        <v>732</v>
      </c>
      <c r="K164" t="s">
        <v>733</v>
      </c>
      <c r="L164" t="s">
        <v>647</v>
      </c>
    </row>
    <row r="165" spans="5:12" x14ac:dyDescent="0.25">
      <c r="E165">
        <v>148</v>
      </c>
      <c r="F165" t="s">
        <v>357</v>
      </c>
      <c r="G165" t="s">
        <v>734</v>
      </c>
      <c r="K165" t="s">
        <v>735</v>
      </c>
      <c r="L165" t="s">
        <v>649</v>
      </c>
    </row>
    <row r="166" spans="5:12" x14ac:dyDescent="0.25">
      <c r="E166">
        <v>149</v>
      </c>
      <c r="F166" t="s">
        <v>357</v>
      </c>
      <c r="G166" t="s">
        <v>736</v>
      </c>
      <c r="K166" t="s">
        <v>737</v>
      </c>
      <c r="L166" t="s">
        <v>651</v>
      </c>
    </row>
    <row r="167" spans="5:12" x14ac:dyDescent="0.25">
      <c r="E167">
        <v>150</v>
      </c>
      <c r="F167" t="s">
        <v>357</v>
      </c>
      <c r="G167" t="s">
        <v>738</v>
      </c>
      <c r="K167" t="s">
        <v>739</v>
      </c>
      <c r="L167" t="s">
        <v>653</v>
      </c>
    </row>
    <row r="168" spans="5:12" x14ac:dyDescent="0.25">
      <c r="E168">
        <v>151</v>
      </c>
      <c r="F168" t="s">
        <v>357</v>
      </c>
      <c r="G168" t="s">
        <v>740</v>
      </c>
      <c r="K168" t="s">
        <v>741</v>
      </c>
      <c r="L168" t="s">
        <v>655</v>
      </c>
    </row>
    <row r="169" spans="5:12" x14ac:dyDescent="0.25">
      <c r="E169">
        <v>152</v>
      </c>
      <c r="F169" t="s">
        <v>357</v>
      </c>
      <c r="G169" t="s">
        <v>742</v>
      </c>
      <c r="K169" t="s">
        <v>743</v>
      </c>
      <c r="L169" t="s">
        <v>657</v>
      </c>
    </row>
    <row r="170" spans="5:12" x14ac:dyDescent="0.25">
      <c r="E170">
        <v>153</v>
      </c>
      <c r="F170" t="s">
        <v>357</v>
      </c>
      <c r="G170" t="s">
        <v>744</v>
      </c>
      <c r="K170" t="s">
        <v>745</v>
      </c>
      <c r="L170" t="s">
        <v>659</v>
      </c>
    </row>
    <row r="171" spans="5:12" x14ac:dyDescent="0.25">
      <c r="E171">
        <v>154</v>
      </c>
      <c r="F171" t="s">
        <v>357</v>
      </c>
      <c r="G171" t="s">
        <v>746</v>
      </c>
      <c r="K171" t="s">
        <v>747</v>
      </c>
      <c r="L171" t="s">
        <v>661</v>
      </c>
    </row>
    <row r="172" spans="5:12" x14ac:dyDescent="0.25">
      <c r="E172">
        <v>156</v>
      </c>
      <c r="F172" t="s">
        <v>357</v>
      </c>
      <c r="G172" t="s">
        <v>748</v>
      </c>
      <c r="K172" t="s">
        <v>749</v>
      </c>
      <c r="L172" t="s">
        <v>663</v>
      </c>
    </row>
    <row r="173" spans="5:12" x14ac:dyDescent="0.25">
      <c r="E173">
        <v>157</v>
      </c>
      <c r="F173" t="s">
        <v>357</v>
      </c>
      <c r="G173" t="s">
        <v>750</v>
      </c>
      <c r="K173" t="s">
        <v>751</v>
      </c>
      <c r="L173" t="s">
        <v>665</v>
      </c>
    </row>
    <row r="174" spans="5:12" x14ac:dyDescent="0.25">
      <c r="E174">
        <v>158</v>
      </c>
      <c r="F174" t="s">
        <v>357</v>
      </c>
      <c r="G174" t="s">
        <v>752</v>
      </c>
      <c r="K174" t="s">
        <v>753</v>
      </c>
      <c r="L174" t="s">
        <v>667</v>
      </c>
    </row>
    <row r="175" spans="5:12" x14ac:dyDescent="0.25">
      <c r="E175">
        <v>161</v>
      </c>
      <c r="F175" t="s">
        <v>357</v>
      </c>
      <c r="G175" t="s">
        <v>754</v>
      </c>
      <c r="K175" t="s">
        <v>755</v>
      </c>
      <c r="L175" t="s">
        <v>669</v>
      </c>
    </row>
    <row r="176" spans="5:12" x14ac:dyDescent="0.25">
      <c r="E176">
        <v>162</v>
      </c>
      <c r="F176" t="s">
        <v>357</v>
      </c>
      <c r="G176" t="s">
        <v>756</v>
      </c>
      <c r="K176" t="s">
        <v>757</v>
      </c>
      <c r="L176" t="s">
        <v>671</v>
      </c>
    </row>
    <row r="177" spans="5:12" x14ac:dyDescent="0.25">
      <c r="E177">
        <v>163</v>
      </c>
      <c r="F177" t="s">
        <v>357</v>
      </c>
      <c r="G177" t="s">
        <v>758</v>
      </c>
      <c r="K177" t="s">
        <v>759</v>
      </c>
      <c r="L177" t="s">
        <v>673</v>
      </c>
    </row>
    <row r="178" spans="5:12" x14ac:dyDescent="0.25">
      <c r="E178">
        <v>164</v>
      </c>
      <c r="F178" t="s">
        <v>357</v>
      </c>
      <c r="G178" t="s">
        <v>760</v>
      </c>
      <c r="K178" t="s">
        <v>761</v>
      </c>
      <c r="L178" t="s">
        <v>675</v>
      </c>
    </row>
    <row r="179" spans="5:12" x14ac:dyDescent="0.25">
      <c r="E179">
        <v>165</v>
      </c>
      <c r="F179" t="s">
        <v>357</v>
      </c>
      <c r="G179" t="s">
        <v>762</v>
      </c>
      <c r="K179" t="s">
        <v>763</v>
      </c>
      <c r="L179" t="s">
        <v>677</v>
      </c>
    </row>
    <row r="180" spans="5:12" x14ac:dyDescent="0.25">
      <c r="E180">
        <v>168</v>
      </c>
      <c r="F180" t="s">
        <v>357</v>
      </c>
      <c r="G180" t="s">
        <v>764</v>
      </c>
      <c r="K180" t="s">
        <v>765</v>
      </c>
      <c r="L180" t="s">
        <v>679</v>
      </c>
    </row>
    <row r="181" spans="5:12" x14ac:dyDescent="0.25">
      <c r="E181">
        <v>171</v>
      </c>
      <c r="F181" t="s">
        <v>357</v>
      </c>
      <c r="G181" t="s">
        <v>766</v>
      </c>
      <c r="K181" t="s">
        <v>767</v>
      </c>
      <c r="L181" t="s">
        <v>681</v>
      </c>
    </row>
    <row r="182" spans="5:12" x14ac:dyDescent="0.25">
      <c r="E182">
        <v>172</v>
      </c>
      <c r="F182" t="s">
        <v>357</v>
      </c>
      <c r="G182" t="s">
        <v>768</v>
      </c>
      <c r="K182" t="s">
        <v>769</v>
      </c>
      <c r="L182" t="s">
        <v>683</v>
      </c>
    </row>
    <row r="183" spans="5:12" x14ac:dyDescent="0.25">
      <c r="E183">
        <v>173</v>
      </c>
      <c r="F183" t="s">
        <v>357</v>
      </c>
      <c r="G183" t="s">
        <v>770</v>
      </c>
      <c r="K183" t="s">
        <v>771</v>
      </c>
      <c r="L183" t="s">
        <v>685</v>
      </c>
    </row>
    <row r="184" spans="5:12" x14ac:dyDescent="0.25">
      <c r="E184">
        <v>174</v>
      </c>
      <c r="F184" t="s">
        <v>357</v>
      </c>
      <c r="G184" t="s">
        <v>772</v>
      </c>
      <c r="K184" t="s">
        <v>773</v>
      </c>
      <c r="L184" t="s">
        <v>687</v>
      </c>
    </row>
    <row r="185" spans="5:12" x14ac:dyDescent="0.25">
      <c r="E185">
        <v>175</v>
      </c>
      <c r="F185" t="s">
        <v>357</v>
      </c>
      <c r="G185" t="s">
        <v>774</v>
      </c>
      <c r="K185" t="s">
        <v>775</v>
      </c>
      <c r="L185" t="s">
        <v>689</v>
      </c>
    </row>
    <row r="186" spans="5:12" x14ac:dyDescent="0.25">
      <c r="E186">
        <v>176</v>
      </c>
      <c r="F186" t="s">
        <v>357</v>
      </c>
      <c r="G186" t="s">
        <v>776</v>
      </c>
      <c r="K186" t="s">
        <v>777</v>
      </c>
      <c r="L186" t="s">
        <v>691</v>
      </c>
    </row>
    <row r="187" spans="5:12" x14ac:dyDescent="0.25">
      <c r="E187">
        <v>177</v>
      </c>
      <c r="F187" t="s">
        <v>357</v>
      </c>
      <c r="G187" t="s">
        <v>778</v>
      </c>
      <c r="K187" t="s">
        <v>779</v>
      </c>
      <c r="L187" t="s">
        <v>693</v>
      </c>
    </row>
    <row r="188" spans="5:12" x14ac:dyDescent="0.25">
      <c r="E188">
        <v>179</v>
      </c>
      <c r="F188" t="s">
        <v>357</v>
      </c>
      <c r="G188" t="s">
        <v>780</v>
      </c>
      <c r="K188" t="s">
        <v>781</v>
      </c>
      <c r="L188" t="s">
        <v>695</v>
      </c>
    </row>
    <row r="189" spans="5:12" x14ac:dyDescent="0.25">
      <c r="E189">
        <v>180</v>
      </c>
      <c r="F189" t="s">
        <v>357</v>
      </c>
      <c r="G189" t="s">
        <v>782</v>
      </c>
      <c r="K189" t="s">
        <v>783</v>
      </c>
      <c r="L189" t="s">
        <v>697</v>
      </c>
    </row>
    <row r="190" spans="5:12" x14ac:dyDescent="0.25">
      <c r="E190">
        <v>181</v>
      </c>
      <c r="F190" t="s">
        <v>357</v>
      </c>
      <c r="G190" t="s">
        <v>784</v>
      </c>
      <c r="K190" t="s">
        <v>785</v>
      </c>
      <c r="L190" t="s">
        <v>699</v>
      </c>
    </row>
    <row r="191" spans="5:12" x14ac:dyDescent="0.25">
      <c r="E191">
        <v>185</v>
      </c>
      <c r="F191" t="s">
        <v>357</v>
      </c>
      <c r="G191" t="s">
        <v>786</v>
      </c>
      <c r="L191" t="s">
        <v>701</v>
      </c>
    </row>
    <row r="192" spans="5:12" x14ac:dyDescent="0.25">
      <c r="E192">
        <v>187</v>
      </c>
      <c r="F192" t="s">
        <v>357</v>
      </c>
      <c r="G192" t="s">
        <v>787</v>
      </c>
      <c r="L192" t="s">
        <v>703</v>
      </c>
    </row>
    <row r="193" spans="5:12" x14ac:dyDescent="0.25">
      <c r="E193">
        <v>190</v>
      </c>
      <c r="F193" t="s">
        <v>357</v>
      </c>
      <c r="G193" t="s">
        <v>788</v>
      </c>
      <c r="L193" t="s">
        <v>705</v>
      </c>
    </row>
    <row r="194" spans="5:12" x14ac:dyDescent="0.25">
      <c r="E194">
        <v>202</v>
      </c>
      <c r="F194" t="s">
        <v>357</v>
      </c>
      <c r="G194" t="s">
        <v>789</v>
      </c>
      <c r="L194" t="s">
        <v>707</v>
      </c>
    </row>
    <row r="195" spans="5:12" x14ac:dyDescent="0.25">
      <c r="E195">
        <v>210</v>
      </c>
      <c r="F195" t="s">
        <v>357</v>
      </c>
      <c r="G195" t="s">
        <v>790</v>
      </c>
      <c r="L195" t="s">
        <v>709</v>
      </c>
    </row>
    <row r="196" spans="5:12" x14ac:dyDescent="0.25">
      <c r="E196">
        <v>213</v>
      </c>
      <c r="F196" t="s">
        <v>357</v>
      </c>
      <c r="G196" t="s">
        <v>791</v>
      </c>
      <c r="L196" t="s">
        <v>711</v>
      </c>
    </row>
    <row r="197" spans="5:12" x14ac:dyDescent="0.25">
      <c r="E197">
        <v>215</v>
      </c>
      <c r="F197" t="s">
        <v>357</v>
      </c>
      <c r="G197" t="s">
        <v>792</v>
      </c>
      <c r="L197" t="s">
        <v>713</v>
      </c>
    </row>
    <row r="198" spans="5:12" x14ac:dyDescent="0.25">
      <c r="E198">
        <v>221</v>
      </c>
      <c r="F198" t="s">
        <v>357</v>
      </c>
      <c r="G198" t="s">
        <v>793</v>
      </c>
      <c r="L198" t="s">
        <v>715</v>
      </c>
    </row>
    <row r="199" spans="5:12" x14ac:dyDescent="0.25">
      <c r="E199">
        <v>224</v>
      </c>
      <c r="F199" t="s">
        <v>357</v>
      </c>
      <c r="G199" t="s">
        <v>794</v>
      </c>
      <c r="L199" t="s">
        <v>717</v>
      </c>
    </row>
    <row r="200" spans="5:12" x14ac:dyDescent="0.25">
      <c r="E200">
        <v>231</v>
      </c>
      <c r="F200" t="s">
        <v>357</v>
      </c>
      <c r="G200" t="s">
        <v>795</v>
      </c>
      <c r="L200" t="s">
        <v>719</v>
      </c>
    </row>
    <row r="201" spans="5:12" x14ac:dyDescent="0.25">
      <c r="E201">
        <v>240</v>
      </c>
      <c r="F201" t="s">
        <v>357</v>
      </c>
      <c r="G201" t="s">
        <v>796</v>
      </c>
      <c r="L201" t="s">
        <v>721</v>
      </c>
    </row>
    <row r="202" spans="5:12" x14ac:dyDescent="0.25">
      <c r="E202">
        <v>242</v>
      </c>
      <c r="F202" t="s">
        <v>357</v>
      </c>
      <c r="G202" t="s">
        <v>797</v>
      </c>
      <c r="L202" t="s">
        <v>723</v>
      </c>
    </row>
    <row r="203" spans="5:12" x14ac:dyDescent="0.25">
      <c r="E203">
        <v>245</v>
      </c>
      <c r="F203" t="s">
        <v>357</v>
      </c>
      <c r="G203" t="s">
        <v>798</v>
      </c>
      <c r="L203" t="s">
        <v>725</v>
      </c>
    </row>
    <row r="204" spans="5:12" x14ac:dyDescent="0.25">
      <c r="E204">
        <v>246</v>
      </c>
      <c r="F204" t="s">
        <v>357</v>
      </c>
      <c r="G204" t="s">
        <v>799</v>
      </c>
      <c r="L204" t="s">
        <v>727</v>
      </c>
    </row>
    <row r="205" spans="5:12" x14ac:dyDescent="0.25">
      <c r="E205">
        <v>248</v>
      </c>
      <c r="F205" t="s">
        <v>357</v>
      </c>
      <c r="G205" t="s">
        <v>800</v>
      </c>
      <c r="L205" t="s">
        <v>729</v>
      </c>
    </row>
    <row r="206" spans="5:12" x14ac:dyDescent="0.25">
      <c r="E206">
        <v>249</v>
      </c>
      <c r="F206" t="s">
        <v>357</v>
      </c>
      <c r="G206" t="s">
        <v>801</v>
      </c>
      <c r="L206" t="s">
        <v>731</v>
      </c>
    </row>
    <row r="207" spans="5:12" x14ac:dyDescent="0.25">
      <c r="E207">
        <v>254</v>
      </c>
      <c r="F207" t="s">
        <v>357</v>
      </c>
      <c r="G207" t="s">
        <v>802</v>
      </c>
      <c r="L207" t="s">
        <v>733</v>
      </c>
    </row>
    <row r="208" spans="5:12" x14ac:dyDescent="0.25">
      <c r="E208">
        <v>265</v>
      </c>
      <c r="F208" t="s">
        <v>357</v>
      </c>
      <c r="G208" t="s">
        <v>803</v>
      </c>
      <c r="L208" t="s">
        <v>735</v>
      </c>
    </row>
    <row r="209" spans="5:12" x14ac:dyDescent="0.25">
      <c r="E209">
        <v>266</v>
      </c>
      <c r="F209" t="s">
        <v>357</v>
      </c>
      <c r="G209" t="s">
        <v>804</v>
      </c>
      <c r="L209" t="s">
        <v>737</v>
      </c>
    </row>
    <row r="210" spans="5:12" x14ac:dyDescent="0.25">
      <c r="E210">
        <v>267</v>
      </c>
      <c r="F210" t="s">
        <v>357</v>
      </c>
      <c r="G210" t="s">
        <v>805</v>
      </c>
      <c r="L210" t="s">
        <v>739</v>
      </c>
    </row>
    <row r="211" spans="5:12" x14ac:dyDescent="0.25">
      <c r="E211">
        <v>269</v>
      </c>
      <c r="F211" t="s">
        <v>357</v>
      </c>
      <c r="G211" t="s">
        <v>806</v>
      </c>
      <c r="L211" t="s">
        <v>741</v>
      </c>
    </row>
    <row r="212" spans="5:12" x14ac:dyDescent="0.25">
      <c r="E212">
        <v>273</v>
      </c>
      <c r="F212" t="s">
        <v>357</v>
      </c>
      <c r="G212" t="s">
        <v>807</v>
      </c>
      <c r="L212" t="s">
        <v>743</v>
      </c>
    </row>
    <row r="213" spans="5:12" x14ac:dyDescent="0.25">
      <c r="E213">
        <v>283</v>
      </c>
      <c r="F213" t="s">
        <v>357</v>
      </c>
      <c r="G213" t="s">
        <v>808</v>
      </c>
      <c r="L213" t="s">
        <v>745</v>
      </c>
    </row>
    <row r="214" spans="5:12" x14ac:dyDescent="0.25">
      <c r="E214">
        <v>291</v>
      </c>
      <c r="F214" t="s">
        <v>357</v>
      </c>
      <c r="G214" t="s">
        <v>809</v>
      </c>
      <c r="L214" t="s">
        <v>747</v>
      </c>
    </row>
    <row r="215" spans="5:12" x14ac:dyDescent="0.25">
      <c r="E215">
        <v>340</v>
      </c>
      <c r="F215" t="s">
        <v>357</v>
      </c>
      <c r="G215" t="s">
        <v>810</v>
      </c>
      <c r="L215" t="s">
        <v>749</v>
      </c>
    </row>
    <row r="216" spans="5:12" x14ac:dyDescent="0.25">
      <c r="E216">
        <v>350</v>
      </c>
      <c r="F216" t="s">
        <v>357</v>
      </c>
      <c r="G216" t="s">
        <v>811</v>
      </c>
      <c r="L216" t="s">
        <v>751</v>
      </c>
    </row>
    <row r="217" spans="5:12" x14ac:dyDescent="0.25">
      <c r="E217">
        <v>360</v>
      </c>
      <c r="F217" t="s">
        <v>357</v>
      </c>
      <c r="G217" t="s">
        <v>812</v>
      </c>
      <c r="L217" t="s">
        <v>753</v>
      </c>
    </row>
    <row r="218" spans="5:12" x14ac:dyDescent="0.25">
      <c r="E218">
        <v>364</v>
      </c>
      <c r="F218" t="s">
        <v>357</v>
      </c>
      <c r="G218" t="s">
        <v>813</v>
      </c>
      <c r="L218" t="s">
        <v>755</v>
      </c>
    </row>
    <row r="219" spans="5:12" x14ac:dyDescent="0.25">
      <c r="E219">
        <v>366</v>
      </c>
      <c r="F219" t="s">
        <v>357</v>
      </c>
      <c r="G219" t="s">
        <v>814</v>
      </c>
      <c r="L219" t="s">
        <v>757</v>
      </c>
    </row>
    <row r="220" spans="5:12" x14ac:dyDescent="0.25">
      <c r="E220">
        <v>367</v>
      </c>
      <c r="F220" t="s">
        <v>357</v>
      </c>
      <c r="G220" t="s">
        <v>815</v>
      </c>
      <c r="L220" t="s">
        <v>759</v>
      </c>
    </row>
    <row r="221" spans="5:12" x14ac:dyDescent="0.25">
      <c r="E221">
        <v>370</v>
      </c>
      <c r="F221" t="s">
        <v>357</v>
      </c>
      <c r="G221" t="s">
        <v>816</v>
      </c>
      <c r="L221" t="s">
        <v>761</v>
      </c>
    </row>
    <row r="222" spans="5:12" x14ac:dyDescent="0.25">
      <c r="E222">
        <v>371</v>
      </c>
      <c r="F222" t="s">
        <v>357</v>
      </c>
      <c r="G222" t="s">
        <v>817</v>
      </c>
      <c r="L222" t="s">
        <v>763</v>
      </c>
    </row>
    <row r="223" spans="5:12" x14ac:dyDescent="0.25">
      <c r="E223">
        <v>376</v>
      </c>
      <c r="F223" t="s">
        <v>357</v>
      </c>
      <c r="G223" t="s">
        <v>818</v>
      </c>
      <c r="L223" t="s">
        <v>765</v>
      </c>
    </row>
    <row r="224" spans="5:12" x14ac:dyDescent="0.25">
      <c r="E224">
        <v>413</v>
      </c>
      <c r="F224" t="s">
        <v>357</v>
      </c>
      <c r="G224" t="s">
        <v>819</v>
      </c>
      <c r="L224" t="s">
        <v>767</v>
      </c>
    </row>
    <row r="225" spans="5:12" x14ac:dyDescent="0.25">
      <c r="E225">
        <v>465</v>
      </c>
      <c r="F225" t="s">
        <v>357</v>
      </c>
      <c r="G225" t="s">
        <v>820</v>
      </c>
      <c r="L225" t="s">
        <v>769</v>
      </c>
    </row>
    <row r="226" spans="5:12" x14ac:dyDescent="0.25">
      <c r="E226">
        <v>571</v>
      </c>
      <c r="F226" t="s">
        <v>357</v>
      </c>
      <c r="G226" t="s">
        <v>821</v>
      </c>
      <c r="L226" t="s">
        <v>771</v>
      </c>
    </row>
    <row r="227" spans="5:12" x14ac:dyDescent="0.25">
      <c r="E227">
        <v>740</v>
      </c>
      <c r="F227" t="s">
        <v>357</v>
      </c>
      <c r="G227" t="s">
        <v>822</v>
      </c>
      <c r="L227" t="s">
        <v>773</v>
      </c>
    </row>
    <row r="228" spans="5:12" x14ac:dyDescent="0.25">
      <c r="E228">
        <v>744</v>
      </c>
      <c r="F228" t="s">
        <v>357</v>
      </c>
      <c r="G228" t="s">
        <v>823</v>
      </c>
      <c r="L228" t="s">
        <v>775</v>
      </c>
    </row>
    <row r="229" spans="5:12" x14ac:dyDescent="0.25">
      <c r="E229">
        <v>752</v>
      </c>
      <c r="F229" t="s">
        <v>357</v>
      </c>
      <c r="G229" t="s">
        <v>824</v>
      </c>
      <c r="L229" t="s">
        <v>777</v>
      </c>
    </row>
    <row r="230" spans="5:12" x14ac:dyDescent="0.25">
      <c r="E230">
        <v>759</v>
      </c>
      <c r="F230" t="s">
        <v>357</v>
      </c>
      <c r="G230" t="s">
        <v>825</v>
      </c>
      <c r="L230" t="s">
        <v>779</v>
      </c>
    </row>
    <row r="231" spans="5:12" x14ac:dyDescent="0.25">
      <c r="E231">
        <v>763</v>
      </c>
      <c r="F231" t="s">
        <v>357</v>
      </c>
      <c r="G231" t="s">
        <v>826</v>
      </c>
      <c r="L231" t="s">
        <v>781</v>
      </c>
    </row>
    <row r="232" spans="5:12" x14ac:dyDescent="0.25">
      <c r="E232">
        <v>765</v>
      </c>
      <c r="F232" t="s">
        <v>357</v>
      </c>
      <c r="G232" t="s">
        <v>827</v>
      </c>
      <c r="L232" t="s">
        <v>783</v>
      </c>
    </row>
    <row r="233" spans="5:12" x14ac:dyDescent="0.25">
      <c r="E233">
        <v>799</v>
      </c>
      <c r="F233" t="s">
        <v>357</v>
      </c>
      <c r="G233" t="s">
        <v>828</v>
      </c>
      <c r="L233" t="s">
        <v>785</v>
      </c>
    </row>
    <row r="234" spans="5:12" x14ac:dyDescent="0.25">
      <c r="G234" t="s">
        <v>123</v>
      </c>
    </row>
    <row r="235" spans="5:12" x14ac:dyDescent="0.25">
      <c r="G235" t="s">
        <v>133</v>
      </c>
    </row>
  </sheetData>
  <sortState ref="S2:S8">
    <sortCondition ref="S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workbookViewId="0">
      <selection activeCell="H4" sqref="H4"/>
    </sheetView>
  </sheetViews>
  <sheetFormatPr defaultRowHeight="13.2" x14ac:dyDescent="0.25"/>
  <cols>
    <col min="1" max="1" width="18.88671875" customWidth="1"/>
    <col min="2" max="3" width="10.109375" customWidth="1"/>
    <col min="4" max="4" width="10.6640625" customWidth="1"/>
    <col min="5" max="6" width="10.109375" customWidth="1"/>
    <col min="7" max="7" width="10.88671875" customWidth="1"/>
    <col min="8" max="8" width="10.5546875" customWidth="1"/>
    <col min="9" max="9" width="11.44140625" customWidth="1"/>
    <col min="10" max="10" width="12.6640625" customWidth="1"/>
    <col min="11" max="38" width="10.33203125" customWidth="1"/>
  </cols>
  <sheetData>
    <row r="1" spans="1:13" ht="18" x14ac:dyDescent="0.35">
      <c r="A1" s="27" t="s">
        <v>22</v>
      </c>
    </row>
    <row r="2" spans="1:13" ht="67.2" x14ac:dyDescent="0.35">
      <c r="A2" s="28" t="s">
        <v>54</v>
      </c>
      <c r="B2" s="29" t="s">
        <v>23</v>
      </c>
      <c r="C2" s="29"/>
      <c r="D2" s="48" t="s">
        <v>55</v>
      </c>
      <c r="E2" s="51" t="s">
        <v>24</v>
      </c>
      <c r="F2" s="51" t="s">
        <v>25</v>
      </c>
      <c r="G2" s="30" t="s">
        <v>26</v>
      </c>
      <c r="H2" s="30" t="s">
        <v>27</v>
      </c>
      <c r="I2" s="31"/>
      <c r="J2" s="31"/>
      <c r="K2" s="32"/>
      <c r="L2" s="33"/>
      <c r="M2" s="32"/>
    </row>
    <row r="3" spans="1:13" x14ac:dyDescent="0.25">
      <c r="A3" s="209" t="s">
        <v>62</v>
      </c>
      <c r="B3" s="29" t="s">
        <v>28</v>
      </c>
      <c r="C3" s="34">
        <v>1</v>
      </c>
      <c r="D3" s="34">
        <v>1440</v>
      </c>
      <c r="E3" s="102">
        <f>'Step 2 - Facility Data Inputs'!$E$12</f>
        <v>0</v>
      </c>
      <c r="F3" s="52" t="e">
        <f>VLOOKUP(('Step 2 - Facility Data Inputs'!$G$13+'Step 2 - Facility Data Inputs'!$I$13),$C$36:$O$51,'Step 2 - Facility Data Inputs'!$E$13)</f>
        <v>#N/A</v>
      </c>
      <c r="G3" s="35">
        <v>1</v>
      </c>
      <c r="H3" s="36" t="e">
        <f>+(D3*(1/(1+(E3*(F3-1)))))*G3</f>
        <v>#N/A</v>
      </c>
      <c r="I3" s="37"/>
      <c r="J3" s="38"/>
      <c r="K3" s="38"/>
      <c r="L3" s="39"/>
      <c r="M3" s="38"/>
    </row>
    <row r="4" spans="1:13" x14ac:dyDescent="0.25">
      <c r="A4" s="210"/>
      <c r="B4" s="40" t="s">
        <v>29</v>
      </c>
      <c r="C4" s="103">
        <v>2</v>
      </c>
      <c r="D4" s="34">
        <v>1440</v>
      </c>
      <c r="E4" s="102">
        <f>'Step 2 - Facility Data Inputs'!$E$12</f>
        <v>0</v>
      </c>
      <c r="F4" s="52" t="e">
        <f>VLOOKUP(('Step 2 - Facility Data Inputs'!$G$13+'Step 2 - Facility Data Inputs'!$I$13),$C$36:$O$51,'Step 2 - Facility Data Inputs'!$E$13)</f>
        <v>#N/A</v>
      </c>
      <c r="G4" s="35">
        <v>0.91</v>
      </c>
      <c r="H4" s="36" t="e">
        <f t="shared" ref="H4:H20" si="0">+(D4*(1/(1+(E4*(F4-1)))))*G4</f>
        <v>#N/A</v>
      </c>
      <c r="I4" s="37"/>
      <c r="J4" s="38"/>
      <c r="K4" s="38"/>
      <c r="L4" s="39"/>
      <c r="M4" s="38"/>
    </row>
    <row r="5" spans="1:13" x14ac:dyDescent="0.25">
      <c r="A5" s="211"/>
      <c r="B5" s="29" t="s">
        <v>30</v>
      </c>
      <c r="C5" s="34">
        <v>3</v>
      </c>
      <c r="D5" s="34">
        <v>1440</v>
      </c>
      <c r="E5" s="102">
        <f>'Step 2 - Facility Data Inputs'!$E$12</f>
        <v>0</v>
      </c>
      <c r="F5" s="52" t="e">
        <f>VLOOKUP(('Step 2 - Facility Data Inputs'!$G$13+'Step 2 - Facility Data Inputs'!$I$13),$C$36:$O$51,'Step 2 - Facility Data Inputs'!$E$13)</f>
        <v>#N/A</v>
      </c>
      <c r="G5" s="35">
        <v>0.86</v>
      </c>
      <c r="H5" s="36" t="e">
        <f t="shared" si="0"/>
        <v>#N/A</v>
      </c>
      <c r="I5" s="37"/>
      <c r="J5" s="38"/>
      <c r="K5" s="38"/>
      <c r="L5" s="39"/>
      <c r="M5" s="38"/>
    </row>
    <row r="6" spans="1:13" x14ac:dyDescent="0.25">
      <c r="A6" s="209" t="s">
        <v>56</v>
      </c>
      <c r="B6" s="29" t="s">
        <v>28</v>
      </c>
      <c r="C6" s="34">
        <v>4</v>
      </c>
      <c r="D6" s="34">
        <v>1600</v>
      </c>
      <c r="E6" s="102">
        <f>'Step 2 - Facility Data Inputs'!$E$12</f>
        <v>0</v>
      </c>
      <c r="F6" s="52" t="e">
        <f>VLOOKUP(('Step 2 - Facility Data Inputs'!$G$13+'Step 2 - Facility Data Inputs'!$I$13),$C$36:$O$51,'Step 2 - Facility Data Inputs'!$E$13)</f>
        <v>#N/A</v>
      </c>
      <c r="G6" s="35">
        <v>1</v>
      </c>
      <c r="H6" s="36" t="e">
        <f t="shared" si="0"/>
        <v>#N/A</v>
      </c>
      <c r="I6" s="37"/>
      <c r="J6" s="38"/>
      <c r="K6" s="38"/>
      <c r="L6" s="39"/>
      <c r="M6" s="38"/>
    </row>
    <row r="7" spans="1:13" x14ac:dyDescent="0.25">
      <c r="A7" s="210"/>
      <c r="B7" s="40" t="s">
        <v>29</v>
      </c>
      <c r="C7" s="103">
        <v>5</v>
      </c>
      <c r="D7" s="34">
        <v>1600</v>
      </c>
      <c r="E7" s="102">
        <f>'Step 2 - Facility Data Inputs'!$E$12</f>
        <v>0</v>
      </c>
      <c r="F7" s="52" t="e">
        <f>VLOOKUP(('Step 2 - Facility Data Inputs'!$G$13+'Step 2 - Facility Data Inputs'!$I$13),$C$36:$O$51,'Step 2 - Facility Data Inputs'!$E$13)</f>
        <v>#N/A</v>
      </c>
      <c r="G7" s="35">
        <v>0.91</v>
      </c>
      <c r="H7" s="36" t="e">
        <f t="shared" si="0"/>
        <v>#N/A</v>
      </c>
      <c r="I7" s="37"/>
      <c r="J7" s="38"/>
      <c r="K7" s="38"/>
      <c r="L7" s="39"/>
      <c r="M7" s="38"/>
    </row>
    <row r="8" spans="1:13" x14ac:dyDescent="0.25">
      <c r="A8" s="211"/>
      <c r="B8" s="29" t="s">
        <v>30</v>
      </c>
      <c r="C8" s="34">
        <v>6</v>
      </c>
      <c r="D8" s="34">
        <v>1600</v>
      </c>
      <c r="E8" s="102">
        <f>'Step 2 - Facility Data Inputs'!$E$12</f>
        <v>0</v>
      </c>
      <c r="F8" s="52" t="e">
        <f>VLOOKUP(('Step 2 - Facility Data Inputs'!$G$13+'Step 2 - Facility Data Inputs'!$I$13),$C$36:$O$51,'Step 2 - Facility Data Inputs'!$E$13)</f>
        <v>#N/A</v>
      </c>
      <c r="G8" s="35">
        <v>0.86</v>
      </c>
      <c r="H8" s="36" t="e">
        <f t="shared" si="0"/>
        <v>#N/A</v>
      </c>
      <c r="I8" s="37"/>
      <c r="J8" s="38"/>
      <c r="K8" s="38"/>
      <c r="L8" s="39"/>
      <c r="M8" s="38"/>
    </row>
    <row r="9" spans="1:13" x14ac:dyDescent="0.25">
      <c r="A9" s="214" t="s">
        <v>63</v>
      </c>
      <c r="B9" s="29" t="s">
        <v>28</v>
      </c>
      <c r="C9" s="34">
        <v>7</v>
      </c>
      <c r="D9" s="34">
        <v>1500</v>
      </c>
      <c r="E9" s="102">
        <f>'Step 2 - Facility Data Inputs'!$E$12</f>
        <v>0</v>
      </c>
      <c r="F9" s="52" t="e">
        <f>VLOOKUP(('Step 2 - Facility Data Inputs'!$G$13+'Step 2 - Facility Data Inputs'!$I$13),$C$36:$O$51,'Step 2 - Facility Data Inputs'!$E$13)</f>
        <v>#N/A</v>
      </c>
      <c r="G9" s="35">
        <v>1</v>
      </c>
      <c r="H9" s="36" t="e">
        <f t="shared" si="0"/>
        <v>#N/A</v>
      </c>
      <c r="I9" s="37"/>
      <c r="J9" s="38"/>
      <c r="K9" s="38"/>
      <c r="L9" s="39"/>
      <c r="M9" s="38"/>
    </row>
    <row r="10" spans="1:13" x14ac:dyDescent="0.25">
      <c r="A10" s="210"/>
      <c r="B10" s="40" t="s">
        <v>29</v>
      </c>
      <c r="C10" s="103">
        <v>8</v>
      </c>
      <c r="D10" s="34">
        <v>1500</v>
      </c>
      <c r="E10" s="102">
        <f>'Step 2 - Facility Data Inputs'!$E$12</f>
        <v>0</v>
      </c>
      <c r="F10" s="52" t="e">
        <f>VLOOKUP(('Step 2 - Facility Data Inputs'!$G$13+'Step 2 - Facility Data Inputs'!$I$13),$C$36:$O$51,'Step 2 - Facility Data Inputs'!$E$13)</f>
        <v>#N/A</v>
      </c>
      <c r="G10" s="35">
        <v>0.91</v>
      </c>
      <c r="H10" s="36" t="e">
        <f t="shared" si="0"/>
        <v>#N/A</v>
      </c>
      <c r="I10" s="37"/>
      <c r="J10" s="38"/>
      <c r="K10" s="38"/>
      <c r="L10" s="39"/>
      <c r="M10" s="38"/>
    </row>
    <row r="11" spans="1:13" x14ac:dyDescent="0.25">
      <c r="A11" s="211"/>
      <c r="B11" s="29" t="s">
        <v>30</v>
      </c>
      <c r="C11" s="34">
        <v>9</v>
      </c>
      <c r="D11" s="34">
        <v>1500</v>
      </c>
      <c r="E11" s="102">
        <f>'Step 2 - Facility Data Inputs'!$E$12</f>
        <v>0</v>
      </c>
      <c r="F11" s="52" t="e">
        <f>VLOOKUP(('Step 2 - Facility Data Inputs'!$G$13+'Step 2 - Facility Data Inputs'!$I$13),$C$36:$O$51,'Step 2 - Facility Data Inputs'!$E$13)</f>
        <v>#N/A</v>
      </c>
      <c r="G11" s="35">
        <v>0.86</v>
      </c>
      <c r="H11" s="36" t="e">
        <f t="shared" si="0"/>
        <v>#N/A</v>
      </c>
      <c r="I11" s="37"/>
      <c r="J11" s="38"/>
      <c r="K11" s="38"/>
      <c r="L11" s="39"/>
      <c r="M11" s="38"/>
    </row>
    <row r="12" spans="1:13" ht="12.75" customHeight="1" x14ac:dyDescent="0.25">
      <c r="A12" s="214" t="s">
        <v>64</v>
      </c>
      <c r="B12" s="29" t="s">
        <v>28</v>
      </c>
      <c r="C12" s="34">
        <v>10</v>
      </c>
      <c r="D12" s="34">
        <v>1600</v>
      </c>
      <c r="E12" s="102">
        <f>'Step 2 - Facility Data Inputs'!$E$12</f>
        <v>0</v>
      </c>
      <c r="F12" s="52" t="e">
        <f>VLOOKUP(('Step 2 - Facility Data Inputs'!$G$13+'Step 2 - Facility Data Inputs'!$I$13),$C$36:$O$51,'Step 2 - Facility Data Inputs'!$E$13)</f>
        <v>#N/A</v>
      </c>
      <c r="G12" s="35">
        <v>1</v>
      </c>
      <c r="H12" s="36" t="e">
        <f t="shared" si="0"/>
        <v>#N/A</v>
      </c>
      <c r="I12" s="37"/>
      <c r="J12" s="38"/>
      <c r="K12" s="38"/>
      <c r="L12" s="39"/>
      <c r="M12" s="38"/>
    </row>
    <row r="13" spans="1:13" x14ac:dyDescent="0.25">
      <c r="A13" s="210"/>
      <c r="B13" s="40" t="s">
        <v>29</v>
      </c>
      <c r="C13" s="103">
        <v>11</v>
      </c>
      <c r="D13" s="34">
        <v>1600</v>
      </c>
      <c r="E13" s="102">
        <f>'Step 2 - Facility Data Inputs'!$E$12</f>
        <v>0</v>
      </c>
      <c r="F13" s="52" t="e">
        <f>VLOOKUP(('Step 2 - Facility Data Inputs'!$G$13+'Step 2 - Facility Data Inputs'!$I$13),$C$36:$O$51,'Step 2 - Facility Data Inputs'!$E$13)</f>
        <v>#N/A</v>
      </c>
      <c r="G13" s="35">
        <v>0.91</v>
      </c>
      <c r="H13" s="36" t="e">
        <f t="shared" si="0"/>
        <v>#N/A</v>
      </c>
      <c r="I13" s="37"/>
      <c r="J13" s="38"/>
      <c r="K13" s="38"/>
      <c r="L13" s="39"/>
      <c r="M13" s="38"/>
    </row>
    <row r="14" spans="1:13" x14ac:dyDescent="0.25">
      <c r="A14" s="211"/>
      <c r="B14" s="29" t="s">
        <v>30</v>
      </c>
      <c r="C14" s="34">
        <v>12</v>
      </c>
      <c r="D14" s="34">
        <v>1600</v>
      </c>
      <c r="E14" s="102">
        <f>'Step 2 - Facility Data Inputs'!$E$12</f>
        <v>0</v>
      </c>
      <c r="F14" s="52" t="e">
        <f>VLOOKUP(('Step 2 - Facility Data Inputs'!$G$13+'Step 2 - Facility Data Inputs'!$I$13),$C$36:$O$51,'Step 2 - Facility Data Inputs'!$E$13)</f>
        <v>#N/A</v>
      </c>
      <c r="G14" s="35">
        <v>0.86</v>
      </c>
      <c r="H14" s="36" t="e">
        <f t="shared" si="0"/>
        <v>#N/A</v>
      </c>
      <c r="I14" s="37"/>
      <c r="J14" s="38"/>
      <c r="K14" s="38"/>
      <c r="L14" s="39"/>
      <c r="M14" s="38"/>
    </row>
    <row r="15" spans="1:13" x14ac:dyDescent="0.25">
      <c r="A15" s="209" t="s">
        <v>31</v>
      </c>
      <c r="B15" s="29" t="s">
        <v>28</v>
      </c>
      <c r="C15" s="34">
        <v>13</v>
      </c>
      <c r="D15" s="34">
        <v>1680</v>
      </c>
      <c r="E15" s="102">
        <f>'Step 2 - Facility Data Inputs'!$E$12</f>
        <v>0</v>
      </c>
      <c r="F15" s="52" t="e">
        <f>VLOOKUP(('Step 2 - Facility Data Inputs'!$G$13+'Step 2 - Facility Data Inputs'!$I$13),$C$36:$O$51,'Step 2 - Facility Data Inputs'!$E$13)</f>
        <v>#N/A</v>
      </c>
      <c r="G15" s="35">
        <v>1</v>
      </c>
      <c r="H15" s="36" t="e">
        <f t="shared" si="0"/>
        <v>#N/A</v>
      </c>
      <c r="L15" s="42"/>
    </row>
    <row r="16" spans="1:13" x14ac:dyDescent="0.25">
      <c r="A16" s="210"/>
      <c r="B16" s="40" t="s">
        <v>29</v>
      </c>
      <c r="C16" s="103">
        <v>14</v>
      </c>
      <c r="D16" s="34">
        <v>1680</v>
      </c>
      <c r="E16" s="102">
        <f>'Step 2 - Facility Data Inputs'!$E$12</f>
        <v>0</v>
      </c>
      <c r="F16" s="52" t="e">
        <f>VLOOKUP(('Step 2 - Facility Data Inputs'!$G$13+'Step 2 - Facility Data Inputs'!$I$13),$C$36:$O$51,'Step 2 - Facility Data Inputs'!$E$13)</f>
        <v>#N/A</v>
      </c>
      <c r="G16" s="35">
        <v>0.91</v>
      </c>
      <c r="H16" s="36" t="e">
        <f t="shared" si="0"/>
        <v>#N/A</v>
      </c>
      <c r="L16" s="42"/>
    </row>
    <row r="17" spans="1:15" x14ac:dyDescent="0.25">
      <c r="A17" s="211"/>
      <c r="B17" s="29" t="s">
        <v>30</v>
      </c>
      <c r="C17" s="34">
        <v>15</v>
      </c>
      <c r="D17" s="34">
        <v>1680</v>
      </c>
      <c r="E17" s="102">
        <f>'Step 2 - Facility Data Inputs'!$E$12</f>
        <v>0</v>
      </c>
      <c r="F17" s="52" t="e">
        <f>VLOOKUP(('Step 2 - Facility Data Inputs'!$G$13+'Step 2 - Facility Data Inputs'!$I$13),$C$36:$O$51,'Step 2 - Facility Data Inputs'!$E$13)</f>
        <v>#N/A</v>
      </c>
      <c r="G17" s="35">
        <v>0.86</v>
      </c>
      <c r="H17" s="36" t="e">
        <f t="shared" si="0"/>
        <v>#N/A</v>
      </c>
      <c r="L17" s="42"/>
    </row>
    <row r="18" spans="1:15" x14ac:dyDescent="0.25">
      <c r="A18" s="209" t="s">
        <v>53</v>
      </c>
      <c r="B18" s="29" t="s">
        <v>28</v>
      </c>
      <c r="C18" s="34">
        <v>16</v>
      </c>
      <c r="D18" s="34">
        <v>1760</v>
      </c>
      <c r="E18" s="102">
        <f>'Step 2 - Facility Data Inputs'!$E$12</f>
        <v>0</v>
      </c>
      <c r="F18" s="52" t="e">
        <f>VLOOKUP(('Step 2 - Facility Data Inputs'!$G$13+'Step 2 - Facility Data Inputs'!$I$13),$C$36:$O$51,'Step 2 - Facility Data Inputs'!$E$13)</f>
        <v>#N/A</v>
      </c>
      <c r="G18" s="35">
        <v>1</v>
      </c>
      <c r="H18" s="36" t="e">
        <f t="shared" si="0"/>
        <v>#N/A</v>
      </c>
      <c r="L18" s="42"/>
    </row>
    <row r="19" spans="1:15" x14ac:dyDescent="0.25">
      <c r="A19" s="210"/>
      <c r="B19" s="40" t="s">
        <v>29</v>
      </c>
      <c r="C19" s="103">
        <v>17</v>
      </c>
      <c r="D19" s="34">
        <v>1760</v>
      </c>
      <c r="E19" s="102">
        <f>'Step 2 - Facility Data Inputs'!$E$12</f>
        <v>0</v>
      </c>
      <c r="F19" s="52" t="e">
        <f>VLOOKUP(('Step 2 - Facility Data Inputs'!$G$13+'Step 2 - Facility Data Inputs'!$I$13),$C$36:$O$51,'Step 2 - Facility Data Inputs'!$E$13)</f>
        <v>#N/A</v>
      </c>
      <c r="G19" s="35">
        <v>0.91</v>
      </c>
      <c r="H19" s="36" t="e">
        <f t="shared" si="0"/>
        <v>#N/A</v>
      </c>
      <c r="L19" s="42"/>
    </row>
    <row r="20" spans="1:15" x14ac:dyDescent="0.25">
      <c r="A20" s="211"/>
      <c r="B20" s="29" t="s">
        <v>30</v>
      </c>
      <c r="C20" s="34">
        <v>18</v>
      </c>
      <c r="D20" s="34">
        <v>1760</v>
      </c>
      <c r="E20" s="102">
        <f>'Step 2 - Facility Data Inputs'!$E$12</f>
        <v>0</v>
      </c>
      <c r="F20" s="52" t="e">
        <f>VLOOKUP(('Step 2 - Facility Data Inputs'!$G$13+'Step 2 - Facility Data Inputs'!$I$13),$C$36:$O$51,'Step 2 - Facility Data Inputs'!$E$13)</f>
        <v>#N/A</v>
      </c>
      <c r="G20" s="35">
        <v>0.86</v>
      </c>
      <c r="H20" s="36" t="e">
        <f t="shared" si="0"/>
        <v>#N/A</v>
      </c>
      <c r="L20" s="42"/>
    </row>
    <row r="21" spans="1:15" ht="15.6" x14ac:dyDescent="0.35">
      <c r="A21" s="41" t="s">
        <v>32</v>
      </c>
      <c r="N21" s="42"/>
    </row>
    <row r="22" spans="1:15" x14ac:dyDescent="0.25">
      <c r="A22" s="41"/>
    </row>
    <row r="23" spans="1:15" ht="14.4" x14ac:dyDescent="0.3">
      <c r="A23" s="43"/>
    </row>
    <row r="24" spans="1:15" ht="13.8" x14ac:dyDescent="0.25">
      <c r="A24" s="44" t="s">
        <v>33</v>
      </c>
    </row>
    <row r="25" spans="1:15" ht="13.8" x14ac:dyDescent="0.25">
      <c r="A25" s="44" t="s">
        <v>34</v>
      </c>
      <c r="B25" s="45"/>
      <c r="C25" s="45"/>
      <c r="D25" s="45"/>
      <c r="E25" s="45"/>
      <c r="F25" s="45"/>
      <c r="G25" s="45"/>
      <c r="H25" s="45"/>
    </row>
    <row r="26" spans="1:15" ht="13.8" x14ac:dyDescent="0.25">
      <c r="A26" s="44"/>
      <c r="B26" s="45" t="s">
        <v>35</v>
      </c>
      <c r="C26" s="45"/>
      <c r="D26" s="45"/>
      <c r="E26" s="45"/>
      <c r="F26" s="45"/>
      <c r="G26" s="45"/>
      <c r="H26" s="45"/>
    </row>
    <row r="27" spans="1:15" ht="16.2" x14ac:dyDescent="0.35">
      <c r="A27" s="44" t="s">
        <v>36</v>
      </c>
      <c r="B27" s="45"/>
      <c r="C27" s="45"/>
      <c r="D27" s="45"/>
      <c r="E27" s="45"/>
      <c r="F27" s="45"/>
      <c r="G27" s="45"/>
      <c r="H27" s="45"/>
    </row>
    <row r="28" spans="1:15" ht="16.2" x14ac:dyDescent="0.35">
      <c r="A28" s="46" t="s">
        <v>37</v>
      </c>
      <c r="B28" s="45"/>
      <c r="C28" s="45"/>
      <c r="D28" s="45"/>
      <c r="E28" s="45"/>
      <c r="F28" s="45"/>
      <c r="G28" s="45"/>
      <c r="H28" s="45"/>
    </row>
    <row r="29" spans="1:15" ht="13.8" x14ac:dyDescent="0.25">
      <c r="A29" s="46"/>
      <c r="B29" s="45"/>
      <c r="C29" s="45"/>
      <c r="D29" s="45"/>
      <c r="E29" s="45"/>
      <c r="F29" s="45"/>
      <c r="G29" s="45"/>
      <c r="H29" s="45"/>
    </row>
    <row r="30" spans="1:15" ht="13.8" x14ac:dyDescent="0.25">
      <c r="A30" s="45"/>
      <c r="B30" s="45"/>
      <c r="C30" s="45"/>
      <c r="D30" s="45"/>
      <c r="E30" s="45"/>
      <c r="F30" s="45"/>
      <c r="G30" s="45"/>
      <c r="H30" s="45"/>
    </row>
    <row r="31" spans="1:15" ht="15" thickBot="1" x14ac:dyDescent="0.35">
      <c r="A31" s="47" t="s">
        <v>38</v>
      </c>
    </row>
    <row r="32" spans="1:15" ht="16.2" thickBot="1" x14ac:dyDescent="0.4">
      <c r="A32" s="212" t="s">
        <v>39</v>
      </c>
      <c r="B32" s="212" t="s">
        <v>40</v>
      </c>
      <c r="C32" s="62"/>
      <c r="D32" s="206" t="s">
        <v>41</v>
      </c>
      <c r="E32" s="207"/>
      <c r="F32" s="207"/>
      <c r="G32" s="207"/>
      <c r="H32" s="207"/>
      <c r="I32" s="207"/>
      <c r="J32" s="207"/>
      <c r="K32" s="207"/>
      <c r="L32" s="207"/>
      <c r="M32" s="207"/>
      <c r="N32" s="207"/>
      <c r="O32" s="208"/>
    </row>
    <row r="33" spans="1:15" ht="13.8" thickBot="1" x14ac:dyDescent="0.3">
      <c r="A33" s="213"/>
      <c r="B33" s="213"/>
      <c r="C33" s="63"/>
      <c r="D33" s="206" t="s">
        <v>42</v>
      </c>
      <c r="E33" s="207"/>
      <c r="F33" s="207"/>
      <c r="G33" s="207"/>
      <c r="H33" s="207"/>
      <c r="I33" s="207"/>
      <c r="J33" s="207"/>
      <c r="K33" s="207"/>
      <c r="L33" s="207"/>
      <c r="M33" s="207"/>
      <c r="N33" s="207"/>
      <c r="O33" s="208"/>
    </row>
    <row r="34" spans="1:15" ht="13.8" thickBot="1" x14ac:dyDescent="0.3">
      <c r="A34" s="213"/>
      <c r="B34" s="213"/>
      <c r="C34" s="54"/>
      <c r="D34" s="100">
        <v>0.02</v>
      </c>
      <c r="E34" s="64">
        <v>0.04</v>
      </c>
      <c r="F34" s="64">
        <v>0.05</v>
      </c>
      <c r="G34" s="64">
        <v>0.06</v>
      </c>
      <c r="H34" s="64">
        <v>0.08</v>
      </c>
      <c r="I34" s="64">
        <v>0.1</v>
      </c>
      <c r="J34" s="64">
        <v>0.15</v>
      </c>
      <c r="K34" s="64">
        <v>0.2</v>
      </c>
      <c r="L34" s="64">
        <v>0.25</v>
      </c>
      <c r="M34" s="64">
        <v>0.3</v>
      </c>
      <c r="N34" s="65">
        <v>0.35</v>
      </c>
      <c r="O34" s="101">
        <v>0.4</v>
      </c>
    </row>
    <row r="35" spans="1:15" ht="13.8" thickBot="1" x14ac:dyDescent="0.3">
      <c r="A35" s="54"/>
      <c r="B35" s="54"/>
      <c r="C35" s="54">
        <v>1</v>
      </c>
      <c r="D35" s="98">
        <v>2</v>
      </c>
      <c r="E35" s="98">
        <v>3</v>
      </c>
      <c r="F35" s="98">
        <v>4</v>
      </c>
      <c r="G35" s="98">
        <v>5</v>
      </c>
      <c r="H35" s="98">
        <v>6</v>
      </c>
      <c r="I35" s="98">
        <v>7</v>
      </c>
      <c r="J35" s="98">
        <v>8</v>
      </c>
      <c r="K35" s="98">
        <v>9</v>
      </c>
      <c r="L35" s="98">
        <v>10</v>
      </c>
      <c r="M35" s="98">
        <v>11</v>
      </c>
      <c r="N35" s="99">
        <v>12</v>
      </c>
      <c r="O35" s="99">
        <v>13</v>
      </c>
    </row>
    <row r="36" spans="1:15" ht="13.8" thickBot="1" x14ac:dyDescent="0.3">
      <c r="A36" s="49" t="s">
        <v>43</v>
      </c>
      <c r="B36" s="49"/>
      <c r="C36" s="49">
        <v>1</v>
      </c>
      <c r="D36" s="50">
        <v>1.5</v>
      </c>
      <c r="E36" s="50">
        <v>1.5</v>
      </c>
      <c r="F36" s="50">
        <v>1.5</v>
      </c>
      <c r="G36" s="50">
        <v>1.5</v>
      </c>
      <c r="H36" s="50">
        <v>1.5</v>
      </c>
      <c r="I36" s="50">
        <v>1.5</v>
      </c>
      <c r="J36" s="50">
        <v>1.5</v>
      </c>
      <c r="K36" s="50">
        <v>1.5</v>
      </c>
      <c r="L36" s="50">
        <v>1.5</v>
      </c>
      <c r="M36" s="50">
        <v>1.5</v>
      </c>
      <c r="N36" s="50">
        <v>1.5</v>
      </c>
      <c r="O36" s="50">
        <v>1.5</v>
      </c>
    </row>
    <row r="37" spans="1:15" ht="13.8" thickBot="1" x14ac:dyDescent="0.3">
      <c r="A37" s="204" t="s">
        <v>44</v>
      </c>
      <c r="B37" s="49" t="s">
        <v>45</v>
      </c>
      <c r="C37" s="49">
        <v>2</v>
      </c>
      <c r="D37" s="50">
        <v>1.5</v>
      </c>
      <c r="E37" s="50">
        <v>1.5</v>
      </c>
      <c r="F37" s="50">
        <v>1.5</v>
      </c>
      <c r="G37" s="50">
        <v>1.5</v>
      </c>
      <c r="H37" s="50">
        <v>1.5</v>
      </c>
      <c r="I37" s="50">
        <v>1.5</v>
      </c>
      <c r="J37" s="50">
        <v>1.5</v>
      </c>
      <c r="K37" s="50">
        <v>1.5</v>
      </c>
      <c r="L37" s="50">
        <v>1.5</v>
      </c>
      <c r="M37" s="50">
        <v>1.5</v>
      </c>
      <c r="N37" s="50">
        <v>1.5</v>
      </c>
      <c r="O37" s="50">
        <v>1.5</v>
      </c>
    </row>
    <row r="38" spans="1:15" ht="13.8" thickBot="1" x14ac:dyDescent="0.3">
      <c r="A38" s="205"/>
      <c r="B38" s="49" t="s">
        <v>46</v>
      </c>
      <c r="C38" s="49">
        <v>3</v>
      </c>
      <c r="D38" s="50">
        <v>2</v>
      </c>
      <c r="E38" s="50">
        <v>2</v>
      </c>
      <c r="F38" s="50">
        <v>2</v>
      </c>
      <c r="G38" s="50">
        <v>2</v>
      </c>
      <c r="H38" s="50">
        <v>1.5</v>
      </c>
      <c r="I38" s="50">
        <v>1.5</v>
      </c>
      <c r="J38" s="50">
        <v>1.5</v>
      </c>
      <c r="K38" s="50">
        <v>1.5</v>
      </c>
      <c r="L38" s="50">
        <v>1.5</v>
      </c>
      <c r="M38" s="50">
        <v>1.5</v>
      </c>
      <c r="N38" s="50">
        <v>1.5</v>
      </c>
      <c r="O38" s="50">
        <v>1.5</v>
      </c>
    </row>
    <row r="39" spans="1:15" ht="13.8" thickBot="1" x14ac:dyDescent="0.3">
      <c r="A39" s="205"/>
      <c r="B39" s="49" t="s">
        <v>47</v>
      </c>
      <c r="C39" s="49">
        <v>4</v>
      </c>
      <c r="D39" s="50">
        <v>3</v>
      </c>
      <c r="E39" s="50">
        <v>3</v>
      </c>
      <c r="F39" s="50">
        <v>2.5</v>
      </c>
      <c r="G39" s="50">
        <v>2.5</v>
      </c>
      <c r="H39" s="50">
        <v>2</v>
      </c>
      <c r="I39" s="50">
        <v>2</v>
      </c>
      <c r="J39" s="50">
        <v>2</v>
      </c>
      <c r="K39" s="50">
        <v>2</v>
      </c>
      <c r="L39" s="50">
        <v>2</v>
      </c>
      <c r="M39" s="50">
        <v>2</v>
      </c>
      <c r="N39" s="50">
        <v>2</v>
      </c>
      <c r="O39" s="50">
        <v>2</v>
      </c>
    </row>
    <row r="40" spans="1:15" ht="13.8" thickBot="1" x14ac:dyDescent="0.3">
      <c r="A40" s="204" t="s">
        <v>48</v>
      </c>
      <c r="B40" s="49" t="s">
        <v>45</v>
      </c>
      <c r="C40" s="49">
        <v>5</v>
      </c>
      <c r="D40" s="50">
        <v>2</v>
      </c>
      <c r="E40" s="50">
        <v>2</v>
      </c>
      <c r="F40" s="50">
        <v>2</v>
      </c>
      <c r="G40" s="50">
        <v>2</v>
      </c>
      <c r="H40" s="50">
        <v>2</v>
      </c>
      <c r="I40" s="50">
        <v>2</v>
      </c>
      <c r="J40" s="50">
        <v>1.5</v>
      </c>
      <c r="K40" s="50">
        <v>1.5</v>
      </c>
      <c r="L40" s="50">
        <v>1.5</v>
      </c>
      <c r="M40" s="50">
        <v>1.5</v>
      </c>
      <c r="N40" s="50">
        <v>1.5</v>
      </c>
      <c r="O40" s="50">
        <v>1.5</v>
      </c>
    </row>
    <row r="41" spans="1:15" ht="13.8" thickBot="1" x14ac:dyDescent="0.3">
      <c r="A41" s="205"/>
      <c r="B41" s="49" t="s">
        <v>46</v>
      </c>
      <c r="C41" s="49">
        <v>6</v>
      </c>
      <c r="D41" s="50">
        <v>3</v>
      </c>
      <c r="E41" s="50">
        <v>3</v>
      </c>
      <c r="F41" s="50">
        <v>2.5</v>
      </c>
      <c r="G41" s="50">
        <v>2.5</v>
      </c>
      <c r="H41" s="50">
        <v>2.5</v>
      </c>
      <c r="I41" s="50">
        <v>2.5</v>
      </c>
      <c r="J41" s="50">
        <v>2</v>
      </c>
      <c r="K41" s="50">
        <v>2</v>
      </c>
      <c r="L41" s="50">
        <v>2</v>
      </c>
      <c r="M41" s="50">
        <v>2</v>
      </c>
      <c r="N41" s="50">
        <v>2</v>
      </c>
      <c r="O41" s="50">
        <v>2</v>
      </c>
    </row>
    <row r="42" spans="1:15" ht="13.8" thickBot="1" x14ac:dyDescent="0.3">
      <c r="A42" s="205"/>
      <c r="B42" s="49" t="s">
        <v>47</v>
      </c>
      <c r="C42" s="49">
        <v>7</v>
      </c>
      <c r="D42" s="50">
        <v>4</v>
      </c>
      <c r="E42" s="50">
        <v>3.5</v>
      </c>
      <c r="F42" s="50">
        <v>3</v>
      </c>
      <c r="G42" s="50">
        <v>3</v>
      </c>
      <c r="H42" s="50">
        <v>3</v>
      </c>
      <c r="I42" s="50">
        <v>3</v>
      </c>
      <c r="J42" s="50">
        <v>2.5</v>
      </c>
      <c r="K42" s="50">
        <v>2.5</v>
      </c>
      <c r="L42" s="50">
        <v>2.5</v>
      </c>
      <c r="M42" s="50">
        <v>2.5</v>
      </c>
      <c r="N42" s="50">
        <v>2.5</v>
      </c>
      <c r="O42" s="50">
        <v>2.5</v>
      </c>
    </row>
    <row r="43" spans="1:15" ht="13.8" thickBot="1" x14ac:dyDescent="0.3">
      <c r="A43" s="204" t="s">
        <v>49</v>
      </c>
      <c r="B43" s="49" t="s">
        <v>45</v>
      </c>
      <c r="C43" s="49">
        <v>8</v>
      </c>
      <c r="D43" s="50">
        <v>3</v>
      </c>
      <c r="E43" s="50">
        <v>2.5</v>
      </c>
      <c r="F43" s="50">
        <v>2.5</v>
      </c>
      <c r="G43" s="50">
        <v>2.5</v>
      </c>
      <c r="H43" s="50">
        <v>2</v>
      </c>
      <c r="I43" s="50">
        <v>2</v>
      </c>
      <c r="J43" s="50">
        <v>2</v>
      </c>
      <c r="K43" s="50">
        <v>2</v>
      </c>
      <c r="L43" s="50">
        <v>2</v>
      </c>
      <c r="M43" s="50">
        <v>2</v>
      </c>
      <c r="N43" s="50">
        <v>2</v>
      </c>
      <c r="O43" s="50">
        <v>2</v>
      </c>
    </row>
    <row r="44" spans="1:15" ht="13.8" thickBot="1" x14ac:dyDescent="0.3">
      <c r="A44" s="205"/>
      <c r="B44" s="49" t="s">
        <v>46</v>
      </c>
      <c r="C44" s="49">
        <v>9</v>
      </c>
      <c r="D44" s="50">
        <v>4</v>
      </c>
      <c r="E44" s="50">
        <v>3.5</v>
      </c>
      <c r="F44" s="50">
        <v>3.5</v>
      </c>
      <c r="G44" s="50">
        <v>3.5</v>
      </c>
      <c r="H44" s="50">
        <v>3</v>
      </c>
      <c r="I44" s="50">
        <v>3</v>
      </c>
      <c r="J44" s="50">
        <v>3</v>
      </c>
      <c r="K44" s="50">
        <v>3</v>
      </c>
      <c r="L44" s="50">
        <v>3</v>
      </c>
      <c r="M44" s="50">
        <v>3</v>
      </c>
      <c r="N44" s="50">
        <v>3</v>
      </c>
      <c r="O44" s="50">
        <v>3</v>
      </c>
    </row>
    <row r="45" spans="1:15" ht="13.8" thickBot="1" x14ac:dyDescent="0.3">
      <c r="A45" s="205"/>
      <c r="B45" s="49" t="s">
        <v>47</v>
      </c>
      <c r="C45" s="49">
        <v>10</v>
      </c>
      <c r="D45" s="50">
        <v>5</v>
      </c>
      <c r="E45" s="50">
        <v>4</v>
      </c>
      <c r="F45" s="50">
        <v>4</v>
      </c>
      <c r="G45" s="50">
        <v>4</v>
      </c>
      <c r="H45" s="50">
        <v>3.5</v>
      </c>
      <c r="I45" s="50">
        <v>3.5</v>
      </c>
      <c r="J45" s="50">
        <v>3</v>
      </c>
      <c r="K45" s="50">
        <v>3</v>
      </c>
      <c r="L45" s="50">
        <v>3</v>
      </c>
      <c r="M45" s="50">
        <v>3</v>
      </c>
      <c r="N45" s="50">
        <v>3</v>
      </c>
      <c r="O45" s="50">
        <v>3</v>
      </c>
    </row>
    <row r="46" spans="1:15" ht="13.8" thickBot="1" x14ac:dyDescent="0.3">
      <c r="A46" s="204" t="s">
        <v>50</v>
      </c>
      <c r="B46" s="49" t="s">
        <v>45</v>
      </c>
      <c r="C46" s="49">
        <v>11</v>
      </c>
      <c r="D46" s="50">
        <v>4.5</v>
      </c>
      <c r="E46" s="50">
        <v>4</v>
      </c>
      <c r="F46" s="50">
        <v>3.5</v>
      </c>
      <c r="G46" s="50">
        <v>3</v>
      </c>
      <c r="H46" s="50">
        <v>2.5</v>
      </c>
      <c r="I46" s="50">
        <v>2.5</v>
      </c>
      <c r="J46" s="50">
        <v>2.5</v>
      </c>
      <c r="K46" s="50">
        <v>2.5</v>
      </c>
      <c r="L46" s="50">
        <v>2.5</v>
      </c>
      <c r="M46" s="50">
        <v>2.5</v>
      </c>
      <c r="N46" s="50">
        <v>2.5</v>
      </c>
      <c r="O46" s="50">
        <v>2.5</v>
      </c>
    </row>
    <row r="47" spans="1:15" ht="13.8" thickBot="1" x14ac:dyDescent="0.3">
      <c r="A47" s="205"/>
      <c r="B47" s="49" t="s">
        <v>46</v>
      </c>
      <c r="C47" s="49">
        <v>12</v>
      </c>
      <c r="D47" s="50">
        <v>5.5</v>
      </c>
      <c r="E47" s="50">
        <v>5</v>
      </c>
      <c r="F47" s="50">
        <v>4.5</v>
      </c>
      <c r="G47" s="50">
        <v>4</v>
      </c>
      <c r="H47" s="50">
        <v>3</v>
      </c>
      <c r="I47" s="50">
        <v>3</v>
      </c>
      <c r="J47" s="50">
        <v>3</v>
      </c>
      <c r="K47" s="50">
        <v>3</v>
      </c>
      <c r="L47" s="50">
        <v>3</v>
      </c>
      <c r="M47" s="50">
        <v>3</v>
      </c>
      <c r="N47" s="50">
        <v>3</v>
      </c>
      <c r="O47" s="50">
        <v>3</v>
      </c>
    </row>
    <row r="48" spans="1:15" ht="13.8" thickBot="1" x14ac:dyDescent="0.3">
      <c r="A48" s="205"/>
      <c r="B48" s="49" t="s">
        <v>47</v>
      </c>
      <c r="C48" s="49">
        <v>13</v>
      </c>
      <c r="D48" s="50">
        <v>6</v>
      </c>
      <c r="E48" s="50">
        <v>5</v>
      </c>
      <c r="F48" s="50">
        <v>5</v>
      </c>
      <c r="G48" s="50">
        <v>4.5</v>
      </c>
      <c r="H48" s="50">
        <v>3.5</v>
      </c>
      <c r="I48" s="50">
        <v>3.5</v>
      </c>
      <c r="J48" s="50">
        <v>3.5</v>
      </c>
      <c r="K48" s="50">
        <v>3.5</v>
      </c>
      <c r="L48" s="50">
        <v>3.5</v>
      </c>
      <c r="M48" s="50">
        <v>3.5</v>
      </c>
      <c r="N48" s="50">
        <v>3.5</v>
      </c>
      <c r="O48" s="50">
        <v>3.5</v>
      </c>
    </row>
    <row r="49" spans="1:15" ht="13.8" thickBot="1" x14ac:dyDescent="0.3">
      <c r="A49" s="204" t="s">
        <v>51</v>
      </c>
      <c r="B49" s="49" t="s">
        <v>45</v>
      </c>
      <c r="C49" s="49">
        <v>14</v>
      </c>
      <c r="D49" s="50">
        <v>5</v>
      </c>
      <c r="E49" s="50">
        <v>4.5</v>
      </c>
      <c r="F49" s="50">
        <v>4</v>
      </c>
      <c r="G49" s="50">
        <v>4</v>
      </c>
      <c r="H49" s="50">
        <v>3.5</v>
      </c>
      <c r="I49" s="50">
        <v>3</v>
      </c>
      <c r="J49" s="50">
        <v>2.5</v>
      </c>
      <c r="K49" s="50">
        <v>2.5</v>
      </c>
      <c r="L49" s="50">
        <v>2.5</v>
      </c>
      <c r="M49" s="50">
        <v>2.5</v>
      </c>
      <c r="N49" s="50">
        <v>2.5</v>
      </c>
      <c r="O49" s="50">
        <v>2.5</v>
      </c>
    </row>
    <row r="50" spans="1:15" ht="13.8" thickBot="1" x14ac:dyDescent="0.3">
      <c r="A50" s="205"/>
      <c r="B50" s="49" t="s">
        <v>46</v>
      </c>
      <c r="C50" s="49">
        <v>15</v>
      </c>
      <c r="D50" s="50">
        <v>6</v>
      </c>
      <c r="E50" s="50">
        <v>5.5</v>
      </c>
      <c r="F50" s="50">
        <v>5</v>
      </c>
      <c r="G50" s="50">
        <v>5</v>
      </c>
      <c r="H50" s="50">
        <v>4.5</v>
      </c>
      <c r="I50" s="50">
        <v>4</v>
      </c>
      <c r="J50" s="50">
        <v>3.5</v>
      </c>
      <c r="K50" s="50">
        <v>3.5</v>
      </c>
      <c r="L50" s="50">
        <v>3.5</v>
      </c>
      <c r="M50" s="50">
        <v>3.5</v>
      </c>
      <c r="N50" s="50">
        <v>3.5</v>
      </c>
      <c r="O50" s="50">
        <v>3.5</v>
      </c>
    </row>
    <row r="51" spans="1:15" ht="13.8" thickBot="1" x14ac:dyDescent="0.3">
      <c r="A51" s="205"/>
      <c r="B51" s="49" t="s">
        <v>47</v>
      </c>
      <c r="C51" s="49">
        <v>16</v>
      </c>
      <c r="D51" s="50">
        <v>7</v>
      </c>
      <c r="E51" s="50">
        <v>6</v>
      </c>
      <c r="F51" s="50">
        <v>5.5</v>
      </c>
      <c r="G51" s="50">
        <v>5.5</v>
      </c>
      <c r="H51" s="50">
        <v>5</v>
      </c>
      <c r="I51" s="50">
        <v>4.5</v>
      </c>
      <c r="J51" s="50">
        <v>4</v>
      </c>
      <c r="K51" s="50">
        <v>4</v>
      </c>
      <c r="L51" s="50">
        <v>4</v>
      </c>
      <c r="M51" s="50">
        <v>4</v>
      </c>
      <c r="N51" s="50">
        <v>4</v>
      </c>
      <c r="O51" s="50">
        <v>4</v>
      </c>
    </row>
    <row r="52" spans="1:15" x14ac:dyDescent="0.25">
      <c r="A52" t="s">
        <v>52</v>
      </c>
      <c r="C52" s="70"/>
    </row>
  </sheetData>
  <mergeCells count="15">
    <mergeCell ref="D32:O32"/>
    <mergeCell ref="D33:O33"/>
    <mergeCell ref="A3:A5"/>
    <mergeCell ref="A6:A8"/>
    <mergeCell ref="A15:A17"/>
    <mergeCell ref="A18:A20"/>
    <mergeCell ref="A32:A34"/>
    <mergeCell ref="B32:B34"/>
    <mergeCell ref="A12:A14"/>
    <mergeCell ref="A9:A11"/>
    <mergeCell ref="A37:A39"/>
    <mergeCell ref="A40:A42"/>
    <mergeCell ref="A43:A45"/>
    <mergeCell ref="A46:A48"/>
    <mergeCell ref="A49:A51"/>
  </mergeCells>
  <pageMargins left="0.7" right="0.7" top="0.75" bottom="0.75" header="0.3" footer="0.3"/>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tabSelected="1" workbookViewId="0">
      <selection activeCell="A17" sqref="A17"/>
    </sheetView>
  </sheetViews>
  <sheetFormatPr defaultColWidth="9.109375" defaultRowHeight="13.2" x14ac:dyDescent="0.25"/>
  <cols>
    <col min="1" max="1" width="9.6640625" style="186" customWidth="1"/>
    <col min="2" max="2" width="12.5546875" style="186" customWidth="1"/>
    <col min="3" max="3" width="20.6640625" style="186" customWidth="1"/>
    <col min="4" max="4" width="1.6640625" style="186" customWidth="1"/>
    <col min="5" max="5" width="20.6640625" style="186" customWidth="1"/>
    <col min="6" max="6" width="1.6640625" style="186" customWidth="1"/>
    <col min="7" max="7" width="20.6640625" style="186" customWidth="1"/>
    <col min="8" max="16384" width="9.109375" style="186"/>
  </cols>
  <sheetData>
    <row r="1" spans="1:7" ht="75" customHeight="1" x14ac:dyDescent="0.25">
      <c r="C1" s="216" t="s">
        <v>20</v>
      </c>
      <c r="D1" s="216"/>
      <c r="E1" s="216"/>
      <c r="F1" s="216"/>
      <c r="G1" s="216"/>
    </row>
    <row r="3" spans="1:7" x14ac:dyDescent="0.25">
      <c r="A3" s="186" t="s">
        <v>941</v>
      </c>
    </row>
    <row r="5" spans="1:7" x14ac:dyDescent="0.25">
      <c r="A5" s="187" t="s">
        <v>927</v>
      </c>
      <c r="B5" s="187"/>
    </row>
    <row r="6" spans="1:7" x14ac:dyDescent="0.25">
      <c r="A6" s="185" t="s">
        <v>928</v>
      </c>
      <c r="B6" s="187" t="s">
        <v>929</v>
      </c>
    </row>
    <row r="7" spans="1:7" x14ac:dyDescent="0.25">
      <c r="A7" s="188" t="s">
        <v>930</v>
      </c>
      <c r="B7" s="187" t="s">
        <v>931</v>
      </c>
    </row>
    <row r="8" spans="1:7" x14ac:dyDescent="0.25">
      <c r="A8" s="189" t="s">
        <v>932</v>
      </c>
      <c r="B8" s="187" t="s">
        <v>933</v>
      </c>
    </row>
    <row r="10" spans="1:7" x14ac:dyDescent="0.25">
      <c r="A10" s="187" t="s">
        <v>935</v>
      </c>
      <c r="B10" s="187"/>
    </row>
    <row r="11" spans="1:7" x14ac:dyDescent="0.25">
      <c r="A11" s="217" t="s">
        <v>936</v>
      </c>
      <c r="B11" s="218"/>
      <c r="C11" s="215" t="s">
        <v>65</v>
      </c>
      <c r="D11" s="215"/>
      <c r="E11" s="215"/>
      <c r="F11" s="215"/>
      <c r="G11" s="215"/>
    </row>
    <row r="12" spans="1:7" x14ac:dyDescent="0.25">
      <c r="A12" s="217" t="s">
        <v>937</v>
      </c>
      <c r="B12" s="218"/>
      <c r="C12" s="215" t="s">
        <v>934</v>
      </c>
      <c r="D12" s="215"/>
      <c r="E12" s="215"/>
      <c r="F12" s="215"/>
      <c r="G12" s="215"/>
    </row>
    <row r="13" spans="1:7" x14ac:dyDescent="0.25">
      <c r="C13" s="56"/>
    </row>
    <row r="14" spans="1:7" x14ac:dyDescent="0.25">
      <c r="A14" s="187" t="s">
        <v>944</v>
      </c>
      <c r="B14" s="187"/>
    </row>
    <row r="15" spans="1:7" x14ac:dyDescent="0.25">
      <c r="A15" s="187"/>
      <c r="B15" s="187"/>
    </row>
    <row r="16" spans="1:7" x14ac:dyDescent="0.25">
      <c r="A16" s="187" t="s">
        <v>829</v>
      </c>
      <c r="B16" s="187"/>
    </row>
    <row r="18" spans="1:7" x14ac:dyDescent="0.25">
      <c r="A18" s="190" t="s">
        <v>830</v>
      </c>
      <c r="B18" s="187"/>
      <c r="E18" s="190" t="s">
        <v>834</v>
      </c>
    </row>
    <row r="19" spans="1:7" x14ac:dyDescent="0.25">
      <c r="A19" s="187" t="s">
        <v>831</v>
      </c>
      <c r="B19" s="187"/>
      <c r="C19" s="191" t="s">
        <v>833</v>
      </c>
      <c r="E19" s="187" t="s">
        <v>835</v>
      </c>
    </row>
    <row r="20" spans="1:7" x14ac:dyDescent="0.25">
      <c r="A20" s="215" t="s">
        <v>832</v>
      </c>
      <c r="B20" s="215"/>
      <c r="C20" s="215"/>
      <c r="E20" s="215" t="s">
        <v>836</v>
      </c>
      <c r="F20" s="215"/>
      <c r="G20" s="215"/>
    </row>
    <row r="22" spans="1:7" x14ac:dyDescent="0.25">
      <c r="B22" s="187"/>
    </row>
    <row r="24" spans="1:7" x14ac:dyDescent="0.25">
      <c r="B24" s="187"/>
    </row>
    <row r="25" spans="1:7" x14ac:dyDescent="0.25">
      <c r="B25" s="187"/>
    </row>
    <row r="26" spans="1:7" x14ac:dyDescent="0.25">
      <c r="B26" s="56"/>
    </row>
  </sheetData>
  <sheetProtection sheet="1" objects="1" scenarios="1"/>
  <mergeCells count="7">
    <mergeCell ref="E20:G20"/>
    <mergeCell ref="A20:C20"/>
    <mergeCell ref="C1:G1"/>
    <mergeCell ref="A12:B12"/>
    <mergeCell ref="A11:B11"/>
    <mergeCell ref="C12:G12"/>
    <mergeCell ref="C11:G11"/>
  </mergeCells>
  <hyperlinks>
    <hyperlink ref="C11" r:id="rId1"/>
    <hyperlink ref="A20" r:id="rId2"/>
    <hyperlink ref="E20" r:id="rId3"/>
    <hyperlink ref="C12" r:id="rId4" tooltip="616.13.2 Directions 2013.docx" display="616.13.2_Directions_2013.docx"/>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7"/>
  <sheetViews>
    <sheetView showGridLines="0" workbookViewId="0">
      <selection activeCell="A6" sqref="A6:C6"/>
    </sheetView>
  </sheetViews>
  <sheetFormatPr defaultColWidth="9.109375" defaultRowHeight="13.2" x14ac:dyDescent="0.25"/>
  <cols>
    <col min="1" max="2" width="3.6640625" customWidth="1"/>
    <col min="3" max="3" width="6.6640625" customWidth="1"/>
    <col min="4" max="11" width="12.6640625" customWidth="1"/>
  </cols>
  <sheetData>
    <row r="1" spans="1:11" ht="45" customHeight="1" x14ac:dyDescent="0.25">
      <c r="D1" s="247" t="s">
        <v>885</v>
      </c>
      <c r="E1" s="247"/>
      <c r="F1" s="247"/>
      <c r="G1" s="247"/>
      <c r="H1" s="247"/>
      <c r="I1" s="247"/>
      <c r="J1" s="247"/>
      <c r="K1" s="247"/>
    </row>
    <row r="2" spans="1:11" ht="15" customHeight="1" x14ac:dyDescent="0.25"/>
    <row r="3" spans="1:11" ht="15" customHeight="1" x14ac:dyDescent="0.25">
      <c r="A3" s="58" t="s">
        <v>839</v>
      </c>
    </row>
    <row r="4" spans="1:11" ht="5.0999999999999996" customHeight="1" x14ac:dyDescent="0.25">
      <c r="A4" s="58"/>
    </row>
    <row r="5" spans="1:11" ht="15" customHeight="1" x14ac:dyDescent="0.25">
      <c r="A5" s="255" t="s">
        <v>837</v>
      </c>
      <c r="B5" s="255"/>
      <c r="C5" s="255"/>
      <c r="E5" s="59" t="s">
        <v>68</v>
      </c>
      <c r="F5" s="60"/>
      <c r="G5" s="59" t="s">
        <v>67</v>
      </c>
      <c r="I5" s="59" t="s">
        <v>838</v>
      </c>
    </row>
    <row r="6" spans="1:11" ht="15" customHeight="1" x14ac:dyDescent="0.25">
      <c r="A6" s="256"/>
      <c r="B6" s="257"/>
      <c r="C6" s="258"/>
      <c r="D6" s="61"/>
      <c r="E6" s="131"/>
      <c r="F6" s="61"/>
      <c r="G6" s="131"/>
      <c r="H6" s="61"/>
      <c r="I6" s="131"/>
    </row>
    <row r="7" spans="1:11" ht="15" customHeight="1" x14ac:dyDescent="0.25"/>
    <row r="8" spans="1:11" ht="15" customHeight="1" x14ac:dyDescent="0.25">
      <c r="A8" s="58" t="s">
        <v>840</v>
      </c>
    </row>
    <row r="9" spans="1:11" ht="5.0999999999999996" customHeight="1" x14ac:dyDescent="0.25">
      <c r="A9" s="58"/>
    </row>
    <row r="10" spans="1:11" ht="15" customHeight="1" x14ac:dyDescent="0.25">
      <c r="A10" s="259" t="s">
        <v>890</v>
      </c>
      <c r="B10" s="259"/>
      <c r="C10" s="259"/>
      <c r="D10" s="61"/>
      <c r="E10" s="59" t="s">
        <v>888</v>
      </c>
      <c r="F10" s="61"/>
      <c r="G10" s="59" t="s">
        <v>891</v>
      </c>
      <c r="H10" s="61"/>
      <c r="I10" s="59" t="s">
        <v>894</v>
      </c>
    </row>
    <row r="11" spans="1:11" ht="15" customHeight="1" x14ac:dyDescent="0.25">
      <c r="A11" s="260" t="s">
        <v>889</v>
      </c>
      <c r="B11" s="260"/>
      <c r="C11" s="260"/>
      <c r="D11" s="61"/>
      <c r="E11" s="59" t="s">
        <v>893</v>
      </c>
      <c r="F11" s="61"/>
      <c r="G11" s="59" t="s">
        <v>892</v>
      </c>
      <c r="H11" s="61"/>
      <c r="I11" s="59" t="s">
        <v>942</v>
      </c>
    </row>
    <row r="12" spans="1:11" ht="15" customHeight="1" x14ac:dyDescent="0.25">
      <c r="A12" s="256"/>
      <c r="B12" s="257"/>
      <c r="C12" s="258"/>
      <c r="D12" s="61"/>
      <c r="E12" s="134"/>
      <c r="F12" s="61"/>
      <c r="G12" s="133"/>
      <c r="H12" s="61"/>
      <c r="I12" s="132"/>
    </row>
    <row r="13" spans="1:11" ht="15" customHeight="1" thickBot="1" x14ac:dyDescent="0.3">
      <c r="E13" s="110">
        <f>HLOOKUP(IF(E12&lt;0.02,0.02,E12),'HCM 2010 Program'!D34:O35,2)</f>
        <v>2</v>
      </c>
      <c r="F13" s="110"/>
      <c r="G13" s="110" t="e">
        <f>VLOOKUP(G12,'Reference Sheet'!X2:Y7,2)</f>
        <v>#N/A</v>
      </c>
      <c r="H13" s="110"/>
      <c r="I13" s="110" t="e">
        <f>IF(G13=0,1,IF(I12&lt;0.5,1,IF(I12&lt;=1,2,3)))</f>
        <v>#N/A</v>
      </c>
    </row>
    <row r="14" spans="1:11" ht="15" customHeight="1" thickBot="1" x14ac:dyDescent="0.3">
      <c r="A14" s="58" t="s">
        <v>938</v>
      </c>
      <c r="J14" s="245" t="s">
        <v>948</v>
      </c>
      <c r="K14" s="246"/>
    </row>
    <row r="15" spans="1:11" ht="15" customHeight="1" x14ac:dyDescent="0.25">
      <c r="A15" s="215" t="s">
        <v>939</v>
      </c>
      <c r="B15" s="215"/>
      <c r="C15" s="215"/>
      <c r="D15" s="215"/>
      <c r="E15" s="215"/>
      <c r="F15" s="215"/>
      <c r="J15" s="197" t="s">
        <v>16</v>
      </c>
      <c r="K15" s="198">
        <v>22.7</v>
      </c>
    </row>
    <row r="16" spans="1:11" ht="15" customHeight="1" thickBot="1" x14ac:dyDescent="0.3">
      <c r="A16" s="215" t="s">
        <v>940</v>
      </c>
      <c r="B16" s="215"/>
      <c r="C16" s="215"/>
      <c r="D16" s="215"/>
      <c r="E16" s="215"/>
      <c r="F16" s="215"/>
      <c r="J16" s="192" t="s">
        <v>14</v>
      </c>
      <c r="K16" s="199">
        <v>10.3</v>
      </c>
    </row>
    <row r="17" spans="1:11" ht="5.0999999999999996" customHeight="1" thickBot="1" x14ac:dyDescent="0.3">
      <c r="A17" s="58"/>
    </row>
    <row r="18" spans="1:11" ht="15" customHeight="1" thickBot="1" x14ac:dyDescent="0.3">
      <c r="A18" s="219" t="s">
        <v>846</v>
      </c>
      <c r="B18" s="220"/>
      <c r="C18" s="220"/>
      <c r="D18" s="220"/>
      <c r="E18" s="220"/>
      <c r="F18" s="220"/>
      <c r="G18" s="220"/>
      <c r="H18" s="220"/>
      <c r="I18" s="220"/>
      <c r="J18" s="220"/>
      <c r="K18" s="221"/>
    </row>
    <row r="19" spans="1:11" ht="15" customHeight="1" x14ac:dyDescent="0.25">
      <c r="A19" s="252" t="s">
        <v>848</v>
      </c>
      <c r="B19" s="253"/>
      <c r="C19" s="253"/>
      <c r="D19" s="254"/>
      <c r="E19" s="197" t="str">
        <f>IF(E22="","Sunday",TEXT(E22,"dddd"))</f>
        <v>Sunday</v>
      </c>
      <c r="F19" s="201" t="str">
        <f>IF(F22="","Monday",TEXT(F22,"dddd"))</f>
        <v>Monday</v>
      </c>
      <c r="G19" s="201" t="str">
        <f>IF(G22="","Tuesday",TEXT(G22,"dddd"))</f>
        <v>Tuesday</v>
      </c>
      <c r="H19" s="201" t="str">
        <f>IF(H22="","Wednesday",TEXT(H22,"dddd"))</f>
        <v>Wednesday</v>
      </c>
      <c r="I19" s="201" t="str">
        <f>IF(I22="","Thursday",TEXT(I22,"dddd"))</f>
        <v>Thursday</v>
      </c>
      <c r="J19" s="201" t="str">
        <f>IF(J22="","Friday",TEXT(J22,"dddd"))</f>
        <v>Friday</v>
      </c>
      <c r="K19" s="202" t="str">
        <f>IF(K22="","Saturday",TEXT(K22,"dddd"))</f>
        <v>Saturday</v>
      </c>
    </row>
    <row r="20" spans="1:11" ht="15" hidden="1" customHeight="1" x14ac:dyDescent="0.25">
      <c r="A20" s="232" t="s">
        <v>949</v>
      </c>
      <c r="B20" s="233"/>
      <c r="C20" s="233"/>
      <c r="D20" s="234"/>
      <c r="E20" s="200" t="str">
        <f>IF(E22="","",TEXT(E22,"m/d/yyyy"))</f>
        <v/>
      </c>
      <c r="F20" s="200" t="str">
        <f t="shared" ref="F20:K20" si="0">IF(F22="","",TEXT(F22,"m/d/yyyy"))</f>
        <v/>
      </c>
      <c r="G20" s="200" t="str">
        <f t="shared" si="0"/>
        <v/>
      </c>
      <c r="H20" s="200" t="str">
        <f t="shared" si="0"/>
        <v/>
      </c>
      <c r="I20" s="200" t="str">
        <f t="shared" si="0"/>
        <v/>
      </c>
      <c r="J20" s="200" t="str">
        <f t="shared" si="0"/>
        <v/>
      </c>
      <c r="K20" s="200" t="str">
        <f t="shared" si="0"/>
        <v/>
      </c>
    </row>
    <row r="21" spans="1:11" ht="15" hidden="1" customHeight="1" x14ac:dyDescent="0.25">
      <c r="A21" s="232" t="s">
        <v>950</v>
      </c>
      <c r="B21" s="233"/>
      <c r="C21" s="233"/>
      <c r="D21" s="234"/>
      <c r="E21" s="200" t="str">
        <f>IF(E22="",E19,CONCATENATE(TEXT(E22,"ddd")," (",TEXT(E22,"m/d/yyyy"),")"))</f>
        <v>Sunday</v>
      </c>
      <c r="F21" s="200" t="str">
        <f t="shared" ref="F21:K21" si="1">IF(F22="",F19,CONCATENATE(TEXT(F22,"ddd")," (",TEXT(F22,"m/d/yyyy"),")"))</f>
        <v>Monday</v>
      </c>
      <c r="G21" s="200" t="str">
        <f t="shared" si="1"/>
        <v>Tuesday</v>
      </c>
      <c r="H21" s="200" t="str">
        <f t="shared" si="1"/>
        <v>Wednesday</v>
      </c>
      <c r="I21" s="200" t="str">
        <f t="shared" si="1"/>
        <v>Thursday</v>
      </c>
      <c r="J21" s="200" t="str">
        <f t="shared" si="1"/>
        <v>Friday</v>
      </c>
      <c r="K21" s="200" t="str">
        <f t="shared" si="1"/>
        <v>Saturday</v>
      </c>
    </row>
    <row r="22" spans="1:11" ht="15" customHeight="1" thickBot="1" x14ac:dyDescent="0.3">
      <c r="A22" s="248" t="s">
        <v>874</v>
      </c>
      <c r="B22" s="249"/>
      <c r="C22" s="250"/>
      <c r="D22" s="251"/>
      <c r="E22" s="203"/>
      <c r="F22" s="135"/>
      <c r="G22" s="135"/>
      <c r="H22" s="135"/>
      <c r="I22" s="135"/>
      <c r="J22" s="135"/>
      <c r="K22" s="136"/>
    </row>
    <row r="23" spans="1:11" ht="15" customHeight="1" x14ac:dyDescent="0.25">
      <c r="A23" s="242" t="s">
        <v>847</v>
      </c>
      <c r="B23" s="238" t="s">
        <v>3</v>
      </c>
      <c r="C23" s="222" t="s">
        <v>849</v>
      </c>
      <c r="D23" s="223"/>
      <c r="E23" s="137"/>
      <c r="F23" s="138"/>
      <c r="G23" s="138"/>
      <c r="H23" s="138"/>
      <c r="I23" s="138"/>
      <c r="J23" s="138"/>
      <c r="K23" s="139"/>
    </row>
    <row r="24" spans="1:11" ht="15" customHeight="1" x14ac:dyDescent="0.25">
      <c r="A24" s="243"/>
      <c r="B24" s="239"/>
      <c r="C24" s="226" t="s">
        <v>850</v>
      </c>
      <c r="D24" s="227"/>
      <c r="E24" s="140"/>
      <c r="F24" s="141"/>
      <c r="G24" s="141"/>
      <c r="H24" s="141"/>
      <c r="I24" s="141"/>
      <c r="J24" s="141"/>
      <c r="K24" s="142"/>
    </row>
    <row r="25" spans="1:11" ht="15" customHeight="1" x14ac:dyDescent="0.25">
      <c r="A25" s="243"/>
      <c r="B25" s="239"/>
      <c r="C25" s="226" t="s">
        <v>851</v>
      </c>
      <c r="D25" s="227"/>
      <c r="E25" s="140"/>
      <c r="F25" s="141"/>
      <c r="G25" s="141"/>
      <c r="H25" s="141"/>
      <c r="I25" s="141"/>
      <c r="J25" s="141"/>
      <c r="K25" s="142"/>
    </row>
    <row r="26" spans="1:11" ht="15" customHeight="1" x14ac:dyDescent="0.25">
      <c r="A26" s="243"/>
      <c r="B26" s="239"/>
      <c r="C26" s="226" t="s">
        <v>852</v>
      </c>
      <c r="D26" s="227"/>
      <c r="E26" s="140"/>
      <c r="F26" s="141"/>
      <c r="G26" s="141"/>
      <c r="H26" s="141"/>
      <c r="I26" s="141"/>
      <c r="J26" s="141"/>
      <c r="K26" s="142"/>
    </row>
    <row r="27" spans="1:11" ht="15" customHeight="1" x14ac:dyDescent="0.25">
      <c r="A27" s="243"/>
      <c r="B27" s="239"/>
      <c r="C27" s="226" t="s">
        <v>853</v>
      </c>
      <c r="D27" s="227"/>
      <c r="E27" s="140"/>
      <c r="F27" s="141"/>
      <c r="G27" s="141"/>
      <c r="H27" s="141"/>
      <c r="I27" s="141"/>
      <c r="J27" s="141"/>
      <c r="K27" s="142"/>
    </row>
    <row r="28" spans="1:11" ht="15" customHeight="1" thickBot="1" x14ac:dyDescent="0.3">
      <c r="A28" s="243"/>
      <c r="B28" s="239"/>
      <c r="C28" s="230" t="s">
        <v>854</v>
      </c>
      <c r="D28" s="231"/>
      <c r="E28" s="143"/>
      <c r="F28" s="144"/>
      <c r="G28" s="144"/>
      <c r="H28" s="144"/>
      <c r="I28" s="144"/>
      <c r="J28" s="144"/>
      <c r="K28" s="145"/>
    </row>
    <row r="29" spans="1:11" ht="15" customHeight="1" thickTop="1" x14ac:dyDescent="0.25">
      <c r="A29" s="243"/>
      <c r="B29" s="239"/>
      <c r="C29" s="228" t="s">
        <v>855</v>
      </c>
      <c r="D29" s="229"/>
      <c r="E29" s="140"/>
      <c r="F29" s="141"/>
      <c r="G29" s="141"/>
      <c r="H29" s="141"/>
      <c r="I29" s="141"/>
      <c r="J29" s="141"/>
      <c r="K29" s="142"/>
    </row>
    <row r="30" spans="1:11" ht="15" customHeight="1" x14ac:dyDescent="0.25">
      <c r="A30" s="243"/>
      <c r="B30" s="239"/>
      <c r="C30" s="226" t="s">
        <v>856</v>
      </c>
      <c r="D30" s="227"/>
      <c r="E30" s="140"/>
      <c r="F30" s="141"/>
      <c r="G30" s="141"/>
      <c r="H30" s="141"/>
      <c r="I30" s="141"/>
      <c r="J30" s="141"/>
      <c r="K30" s="142"/>
    </row>
    <row r="31" spans="1:11" ht="15" customHeight="1" x14ac:dyDescent="0.25">
      <c r="A31" s="243"/>
      <c r="B31" s="239"/>
      <c r="C31" s="226" t="s">
        <v>857</v>
      </c>
      <c r="D31" s="227"/>
      <c r="E31" s="140"/>
      <c r="F31" s="141"/>
      <c r="G31" s="141"/>
      <c r="H31" s="141"/>
      <c r="I31" s="141"/>
      <c r="J31" s="141"/>
      <c r="K31" s="142"/>
    </row>
    <row r="32" spans="1:11" ht="15" customHeight="1" x14ac:dyDescent="0.25">
      <c r="A32" s="243"/>
      <c r="B32" s="239"/>
      <c r="C32" s="226" t="s">
        <v>858</v>
      </c>
      <c r="D32" s="227"/>
      <c r="E32" s="140"/>
      <c r="F32" s="141"/>
      <c r="G32" s="141"/>
      <c r="H32" s="141"/>
      <c r="I32" s="141"/>
      <c r="J32" s="141"/>
      <c r="K32" s="142"/>
    </row>
    <row r="33" spans="1:11" ht="15" customHeight="1" x14ac:dyDescent="0.25">
      <c r="A33" s="243"/>
      <c r="B33" s="239"/>
      <c r="C33" s="226" t="s">
        <v>859</v>
      </c>
      <c r="D33" s="227"/>
      <c r="E33" s="140"/>
      <c r="F33" s="141"/>
      <c r="G33" s="141"/>
      <c r="H33" s="141"/>
      <c r="I33" s="141"/>
      <c r="J33" s="141"/>
      <c r="K33" s="142"/>
    </row>
    <row r="34" spans="1:11" ht="15" customHeight="1" thickBot="1" x14ac:dyDescent="0.3">
      <c r="A34" s="243"/>
      <c r="B34" s="240"/>
      <c r="C34" s="224" t="s">
        <v>860</v>
      </c>
      <c r="D34" s="225"/>
      <c r="E34" s="146"/>
      <c r="F34" s="147"/>
      <c r="G34" s="147"/>
      <c r="H34" s="147"/>
      <c r="I34" s="147"/>
      <c r="J34" s="147"/>
      <c r="K34" s="148"/>
    </row>
    <row r="35" spans="1:11" ht="15" customHeight="1" x14ac:dyDescent="0.25">
      <c r="A35" s="243"/>
      <c r="B35" s="241" t="s">
        <v>4</v>
      </c>
      <c r="C35" s="222" t="s">
        <v>861</v>
      </c>
      <c r="D35" s="223"/>
      <c r="E35" s="149"/>
      <c r="F35" s="150"/>
      <c r="G35" s="150"/>
      <c r="H35" s="150"/>
      <c r="I35" s="150"/>
      <c r="J35" s="150"/>
      <c r="K35" s="151"/>
    </row>
    <row r="36" spans="1:11" ht="15" customHeight="1" x14ac:dyDescent="0.25">
      <c r="A36" s="243"/>
      <c r="B36" s="239"/>
      <c r="C36" s="226" t="s">
        <v>862</v>
      </c>
      <c r="D36" s="227"/>
      <c r="E36" s="140"/>
      <c r="F36" s="141"/>
      <c r="G36" s="141"/>
      <c r="H36" s="141"/>
      <c r="I36" s="141"/>
      <c r="J36" s="141"/>
      <c r="K36" s="142"/>
    </row>
    <row r="37" spans="1:11" ht="15" customHeight="1" x14ac:dyDescent="0.25">
      <c r="A37" s="243"/>
      <c r="B37" s="239"/>
      <c r="C37" s="226" t="s">
        <v>863</v>
      </c>
      <c r="D37" s="227"/>
      <c r="E37" s="140"/>
      <c r="F37" s="141"/>
      <c r="G37" s="141"/>
      <c r="H37" s="141"/>
      <c r="I37" s="141"/>
      <c r="J37" s="141"/>
      <c r="K37" s="142"/>
    </row>
    <row r="38" spans="1:11" ht="15" customHeight="1" x14ac:dyDescent="0.25">
      <c r="A38" s="243"/>
      <c r="B38" s="239"/>
      <c r="C38" s="226" t="s">
        <v>864</v>
      </c>
      <c r="D38" s="227"/>
      <c r="E38" s="140"/>
      <c r="F38" s="141"/>
      <c r="G38" s="141"/>
      <c r="H38" s="141"/>
      <c r="I38" s="141"/>
      <c r="J38" s="141"/>
      <c r="K38" s="142"/>
    </row>
    <row r="39" spans="1:11" ht="15" customHeight="1" x14ac:dyDescent="0.25">
      <c r="A39" s="243"/>
      <c r="B39" s="239"/>
      <c r="C39" s="226" t="s">
        <v>865</v>
      </c>
      <c r="D39" s="227"/>
      <c r="E39" s="140"/>
      <c r="F39" s="141"/>
      <c r="G39" s="141"/>
      <c r="H39" s="141"/>
      <c r="I39" s="141"/>
      <c r="J39" s="141"/>
      <c r="K39" s="142"/>
    </row>
    <row r="40" spans="1:11" ht="15" customHeight="1" thickBot="1" x14ac:dyDescent="0.3">
      <c r="A40" s="243"/>
      <c r="B40" s="239"/>
      <c r="C40" s="230" t="s">
        <v>866</v>
      </c>
      <c r="D40" s="231"/>
      <c r="E40" s="143"/>
      <c r="F40" s="144"/>
      <c r="G40" s="144"/>
      <c r="H40" s="144"/>
      <c r="I40" s="144"/>
      <c r="J40" s="144"/>
      <c r="K40" s="145"/>
    </row>
    <row r="41" spans="1:11" ht="15" customHeight="1" thickTop="1" x14ac:dyDescent="0.25">
      <c r="A41" s="243"/>
      <c r="B41" s="239"/>
      <c r="C41" s="228" t="s">
        <v>867</v>
      </c>
      <c r="D41" s="229"/>
      <c r="E41" s="137"/>
      <c r="F41" s="138"/>
      <c r="G41" s="138"/>
      <c r="H41" s="138"/>
      <c r="I41" s="138"/>
      <c r="J41" s="138"/>
      <c r="K41" s="139"/>
    </row>
    <row r="42" spans="1:11" ht="15" customHeight="1" x14ac:dyDescent="0.25">
      <c r="A42" s="243"/>
      <c r="B42" s="239"/>
      <c r="C42" s="226" t="s">
        <v>868</v>
      </c>
      <c r="D42" s="227"/>
      <c r="E42" s="140"/>
      <c r="F42" s="141"/>
      <c r="G42" s="141"/>
      <c r="H42" s="141"/>
      <c r="I42" s="141"/>
      <c r="J42" s="141"/>
      <c r="K42" s="142"/>
    </row>
    <row r="43" spans="1:11" ht="15" customHeight="1" x14ac:dyDescent="0.25">
      <c r="A43" s="243"/>
      <c r="B43" s="239"/>
      <c r="C43" s="226" t="s">
        <v>869</v>
      </c>
      <c r="D43" s="227"/>
      <c r="E43" s="140"/>
      <c r="F43" s="141"/>
      <c r="G43" s="141"/>
      <c r="H43" s="141"/>
      <c r="I43" s="141"/>
      <c r="J43" s="141"/>
      <c r="K43" s="142"/>
    </row>
    <row r="44" spans="1:11" ht="15" customHeight="1" x14ac:dyDescent="0.25">
      <c r="A44" s="243"/>
      <c r="B44" s="239"/>
      <c r="C44" s="226" t="s">
        <v>870</v>
      </c>
      <c r="D44" s="227"/>
      <c r="E44" s="140"/>
      <c r="F44" s="141"/>
      <c r="G44" s="141"/>
      <c r="H44" s="141"/>
      <c r="I44" s="141"/>
      <c r="J44" s="141"/>
      <c r="K44" s="142"/>
    </row>
    <row r="45" spans="1:11" ht="15" customHeight="1" x14ac:dyDescent="0.25">
      <c r="A45" s="243"/>
      <c r="B45" s="239"/>
      <c r="C45" s="226" t="s">
        <v>871</v>
      </c>
      <c r="D45" s="227"/>
      <c r="E45" s="140"/>
      <c r="F45" s="141"/>
      <c r="G45" s="141"/>
      <c r="H45" s="141"/>
      <c r="I45" s="141"/>
      <c r="J45" s="141"/>
      <c r="K45" s="142"/>
    </row>
    <row r="46" spans="1:11" ht="15" customHeight="1" thickBot="1" x14ac:dyDescent="0.3">
      <c r="A46" s="244"/>
      <c r="B46" s="240"/>
      <c r="C46" s="224" t="s">
        <v>872</v>
      </c>
      <c r="D46" s="225"/>
      <c r="E46" s="152"/>
      <c r="F46" s="153"/>
      <c r="G46" s="153"/>
      <c r="H46" s="153"/>
      <c r="I46" s="153"/>
      <c r="J46" s="153"/>
      <c r="K46" s="154"/>
    </row>
    <row r="47" spans="1:11" ht="15" customHeight="1" thickBot="1" x14ac:dyDescent="0.3">
      <c r="A47" s="235" t="s">
        <v>873</v>
      </c>
      <c r="B47" s="236"/>
      <c r="C47" s="237"/>
      <c r="D47" s="109"/>
      <c r="E47" s="106">
        <f>SUM(E23:E46)</f>
        <v>0</v>
      </c>
      <c r="F47" s="107">
        <f t="shared" ref="F47:K47" si="2">SUM(F23:F46)</f>
        <v>0</v>
      </c>
      <c r="G47" s="107">
        <f t="shared" si="2"/>
        <v>0</v>
      </c>
      <c r="H47" s="107">
        <f t="shared" si="2"/>
        <v>0</v>
      </c>
      <c r="I47" s="107">
        <f t="shared" si="2"/>
        <v>0</v>
      </c>
      <c r="J47" s="107">
        <f t="shared" si="2"/>
        <v>0</v>
      </c>
      <c r="K47" s="108">
        <f t="shared" si="2"/>
        <v>0</v>
      </c>
    </row>
  </sheetData>
  <sheetProtection sheet="1" objects="1" scenarios="1"/>
  <mergeCells count="42">
    <mergeCell ref="J14:K14"/>
    <mergeCell ref="D1:K1"/>
    <mergeCell ref="C46:D46"/>
    <mergeCell ref="A22:D22"/>
    <mergeCell ref="A19:D19"/>
    <mergeCell ref="A5:C5"/>
    <mergeCell ref="A6:C6"/>
    <mergeCell ref="A10:C10"/>
    <mergeCell ref="A12:C12"/>
    <mergeCell ref="A11:C11"/>
    <mergeCell ref="C41:D41"/>
    <mergeCell ref="C42:D42"/>
    <mergeCell ref="C43:D43"/>
    <mergeCell ref="C44:D44"/>
    <mergeCell ref="C45:D45"/>
    <mergeCell ref="C36:D36"/>
    <mergeCell ref="C37:D37"/>
    <mergeCell ref="C35:D35"/>
    <mergeCell ref="A47:C47"/>
    <mergeCell ref="B23:B34"/>
    <mergeCell ref="B35:B46"/>
    <mergeCell ref="A23:A46"/>
    <mergeCell ref="C38:D38"/>
    <mergeCell ref="C39:D39"/>
    <mergeCell ref="C40:D40"/>
    <mergeCell ref="C27:D27"/>
    <mergeCell ref="C26:D26"/>
    <mergeCell ref="A16:F16"/>
    <mergeCell ref="A15:F15"/>
    <mergeCell ref="A18:K18"/>
    <mergeCell ref="C23:D23"/>
    <mergeCell ref="C34:D34"/>
    <mergeCell ref="C33:D33"/>
    <mergeCell ref="C32:D32"/>
    <mergeCell ref="C31:D31"/>
    <mergeCell ref="C30:D30"/>
    <mergeCell ref="C29:D29"/>
    <mergeCell ref="C28:D28"/>
    <mergeCell ref="C25:D25"/>
    <mergeCell ref="C24:D24"/>
    <mergeCell ref="A21:D21"/>
    <mergeCell ref="A20:D20"/>
  </mergeCells>
  <dataValidations count="3">
    <dataValidation type="whole" operator="greaterThanOrEqual" allowBlank="1" showInputMessage="1" showErrorMessage="1" sqref="A12">
      <formula1>1</formula1>
    </dataValidation>
    <dataValidation type="decimal" operator="greaterThanOrEqual" allowBlank="1" showInputMessage="1" showErrorMessage="1" sqref="I12">
      <formula1>0</formula1>
    </dataValidation>
    <dataValidation type="decimal" allowBlank="1" showInputMessage="1" showErrorMessage="1" sqref="E12">
      <formula1>0</formula1>
      <formula2>1</formula2>
    </dataValidation>
  </dataValidations>
  <hyperlinks>
    <hyperlink ref="A15" r:id="rId1"/>
    <hyperlink ref="A16" r:id="rId2" display="Directions on how to sue the TSHV table."/>
  </hyperlinks>
  <pageMargins left="0.7" right="0.7" top="0.75" bottom="0.75" header="0.3" footer="0.3"/>
  <pageSetup scale="76" orientation="portrait" r:id="rId3"/>
  <ignoredErrors>
    <ignoredError sqref="E47:K47" formulaRange="1"/>
  </ignoredErrors>
  <drawing r:id="rId4"/>
  <legacyDrawing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'Reference Sheet'!$A$2:$A$8</xm:f>
          </x14:formula1>
          <xm:sqref>A6</xm:sqref>
        </x14:dataValidation>
        <x14:dataValidation type="list" allowBlank="1" showInputMessage="1" showErrorMessage="1">
          <x14:formula1>
            <xm:f>'Reference Sheet'!$D$2:$D$116</xm:f>
          </x14:formula1>
          <xm:sqref>G6</xm:sqref>
        </x14:dataValidation>
        <x14:dataValidation type="list" allowBlank="1" showInputMessage="1" showErrorMessage="1">
          <x14:formula1>
            <xm:f>'Reference Sheet'!$X$2:$X$7</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21"/>
  <sheetViews>
    <sheetView topLeftCell="G1" zoomScale="50" zoomScaleNormal="50" workbookViewId="0">
      <selection activeCell="W23" sqref="W23"/>
    </sheetView>
  </sheetViews>
  <sheetFormatPr defaultRowHeight="13.2" x14ac:dyDescent="0.25"/>
  <cols>
    <col min="8" max="8" width="49.33203125" customWidth="1"/>
    <col min="9" max="9" width="18" customWidth="1"/>
    <col min="10" max="10" width="9.44140625" customWidth="1"/>
    <col min="12" max="12" width="14.33203125" style="68" customWidth="1"/>
    <col min="13" max="14" width="9.109375" style="68"/>
    <col min="15" max="15" width="14.44140625" style="68" customWidth="1"/>
    <col min="16" max="18" width="9.109375" style="68"/>
    <col min="19" max="19" width="12.33203125" customWidth="1"/>
    <col min="20" max="20" width="10.109375" customWidth="1"/>
    <col min="21" max="21" width="13.109375" customWidth="1"/>
    <col min="22" max="22" width="11" customWidth="1"/>
    <col min="23" max="23" width="8.5546875" customWidth="1"/>
    <col min="26" max="26" width="11.6640625" bestFit="1" customWidth="1"/>
    <col min="27" max="31" width="11.6640625" customWidth="1"/>
    <col min="32" max="32" width="27.88671875" style="15" customWidth="1"/>
    <col min="33" max="33" width="14" bestFit="1" customWidth="1"/>
  </cols>
  <sheetData>
    <row r="1" spans="8:33" x14ac:dyDescent="0.25">
      <c r="H1" s="55" t="s">
        <v>918</v>
      </c>
      <c r="J1" s="68"/>
      <c r="L1"/>
      <c r="M1"/>
      <c r="N1"/>
      <c r="O1"/>
      <c r="P1"/>
      <c r="Q1"/>
      <c r="R1"/>
      <c r="X1" s="15"/>
      <c r="Y1" s="15"/>
      <c r="AF1"/>
    </row>
    <row r="2" spans="8:33" x14ac:dyDescent="0.25">
      <c r="J2" s="68"/>
      <c r="L2"/>
      <c r="M2"/>
      <c r="N2"/>
      <c r="O2"/>
      <c r="P2"/>
      <c r="Q2"/>
      <c r="R2"/>
      <c r="X2" s="15"/>
      <c r="Y2" s="15"/>
      <c r="AF2"/>
    </row>
    <row r="3" spans="8:33" x14ac:dyDescent="0.25">
      <c r="H3" s="58" t="s">
        <v>841</v>
      </c>
      <c r="J3" s="68"/>
      <c r="L3"/>
      <c r="M3"/>
      <c r="O3"/>
      <c r="P3"/>
      <c r="Q3"/>
      <c r="R3"/>
      <c r="X3" s="15"/>
      <c r="Y3" s="15"/>
      <c r="AF3"/>
    </row>
    <row r="4" spans="8:33" x14ac:dyDescent="0.25">
      <c r="H4" s="68"/>
      <c r="I4" s="57"/>
      <c r="J4" s="57"/>
      <c r="L4" s="57"/>
      <c r="M4"/>
      <c r="N4"/>
      <c r="O4"/>
      <c r="P4" s="15"/>
      <c r="Q4" s="15"/>
      <c r="R4"/>
      <c r="AF4"/>
    </row>
    <row r="5" spans="8:33" x14ac:dyDescent="0.25">
      <c r="H5" s="68"/>
      <c r="L5"/>
      <c r="M5"/>
      <c r="N5"/>
      <c r="O5"/>
      <c r="P5" s="15"/>
      <c r="Q5" s="15"/>
      <c r="R5"/>
      <c r="AF5"/>
    </row>
    <row r="6" spans="8:33" x14ac:dyDescent="0.25">
      <c r="J6" s="68"/>
      <c r="L6"/>
      <c r="M6"/>
      <c r="N6"/>
      <c r="O6"/>
      <c r="P6"/>
      <c r="Q6"/>
      <c r="R6"/>
      <c r="X6" s="15"/>
      <c r="Y6" s="15"/>
      <c r="AF6"/>
    </row>
    <row r="7" spans="8:33" x14ac:dyDescent="0.25">
      <c r="J7" s="68"/>
      <c r="L7"/>
      <c r="M7"/>
      <c r="N7"/>
      <c r="O7"/>
      <c r="P7"/>
      <c r="Q7"/>
      <c r="R7"/>
      <c r="X7" s="15"/>
      <c r="Y7" s="15"/>
      <c r="AF7"/>
    </row>
    <row r="8" spans="8:33" x14ac:dyDescent="0.25">
      <c r="J8" s="68"/>
      <c r="L8"/>
      <c r="M8"/>
      <c r="N8"/>
      <c r="O8"/>
      <c r="P8"/>
      <c r="Q8"/>
      <c r="R8"/>
      <c r="X8" s="15"/>
      <c r="Y8" s="15"/>
      <c r="AF8"/>
    </row>
    <row r="9" spans="8:33" x14ac:dyDescent="0.25">
      <c r="J9" s="68"/>
      <c r="L9"/>
      <c r="M9"/>
      <c r="N9"/>
      <c r="O9"/>
      <c r="P9"/>
      <c r="Q9"/>
      <c r="R9"/>
      <c r="X9" s="15"/>
      <c r="Y9" s="15"/>
      <c r="AF9"/>
    </row>
    <row r="10" spans="8:33" x14ac:dyDescent="0.25">
      <c r="H10" s="66" t="s">
        <v>0</v>
      </c>
      <c r="I10" s="67">
        <f>'Step 2 - Facility Data Inputs'!A12</f>
        <v>0</v>
      </c>
      <c r="J10" s="66"/>
      <c r="K10" s="66"/>
      <c r="M10" s="67"/>
      <c r="N10" s="67"/>
      <c r="O10" s="67"/>
      <c r="P10" s="67"/>
      <c r="Q10" s="67"/>
      <c r="R10" s="67"/>
      <c r="S10" s="66"/>
      <c r="T10" s="68"/>
      <c r="U10" s="67"/>
      <c r="W10" s="24"/>
      <c r="X10" s="15"/>
      <c r="Y10" s="15"/>
      <c r="AF10" s="25" t="s">
        <v>21</v>
      </c>
    </row>
    <row r="11" spans="8:33" x14ac:dyDescent="0.25">
      <c r="H11" s="66" t="s">
        <v>1</v>
      </c>
      <c r="I11" s="69">
        <f>IF('Step 2 - Facility Data Inputs'!E12='HCM 2010 Program'!D34,0.02,IF('Step 2 - Facility Data Inputs'!E12='HCM 2010 Program'!O34,0.4,'Step 2 - Facility Data Inputs'!E12))</f>
        <v>0</v>
      </c>
      <c r="J11" s="66"/>
      <c r="K11" s="66"/>
      <c r="M11" s="69"/>
      <c r="N11" s="69"/>
      <c r="O11" s="69"/>
      <c r="P11" s="69"/>
      <c r="Q11" s="69"/>
      <c r="R11" s="69"/>
      <c r="S11" s="66"/>
      <c r="T11" s="66"/>
      <c r="V11" s="75"/>
      <c r="AA11" s="82"/>
      <c r="AB11" s="82"/>
      <c r="AC11" s="82"/>
      <c r="AD11" s="82"/>
      <c r="AE11" s="82"/>
      <c r="AF11"/>
    </row>
    <row r="12" spans="8:33" x14ac:dyDescent="0.25">
      <c r="H12" s="91" t="s">
        <v>13</v>
      </c>
      <c r="I12" s="82">
        <f>(25*(1-I11))+(50*I11)</f>
        <v>25</v>
      </c>
      <c r="K12" s="66"/>
      <c r="L12" s="66"/>
      <c r="M12" s="66"/>
      <c r="N12" s="66"/>
      <c r="O12" s="66"/>
      <c r="P12" s="66"/>
      <c r="Q12" s="66"/>
      <c r="R12" s="66"/>
      <c r="S12" s="68"/>
      <c r="T12" s="23"/>
      <c r="U12" s="23"/>
      <c r="V12" s="23"/>
      <c r="W12" s="23"/>
      <c r="X12" s="15"/>
      <c r="Y12" s="15"/>
      <c r="AF12"/>
    </row>
    <row r="13" spans="8:33" x14ac:dyDescent="0.25">
      <c r="H13" s="66" t="s">
        <v>10</v>
      </c>
      <c r="I13" s="66"/>
      <c r="J13" s="66"/>
      <c r="K13" s="66"/>
      <c r="M13" s="66"/>
      <c r="N13" s="66"/>
      <c r="O13" s="66"/>
      <c r="P13" s="66"/>
      <c r="Q13" s="66"/>
      <c r="R13" s="66"/>
      <c r="S13" s="77"/>
      <c r="T13" s="77"/>
      <c r="U13" s="23"/>
      <c r="V13" s="23"/>
      <c r="W13" s="23"/>
      <c r="X13" s="15"/>
      <c r="Y13" s="15"/>
      <c r="AF13"/>
    </row>
    <row r="14" spans="8:33" x14ac:dyDescent="0.25">
      <c r="H14" s="1"/>
      <c r="I14" s="1"/>
      <c r="J14" s="68"/>
      <c r="O14"/>
      <c r="P14"/>
      <c r="Q14"/>
      <c r="R14"/>
      <c r="X14" s="15"/>
      <c r="Y14" s="15"/>
      <c r="AF14"/>
    </row>
    <row r="15" spans="8:33" x14ac:dyDescent="0.25">
      <c r="H15" s="1" t="s">
        <v>887</v>
      </c>
      <c r="J15" s="68"/>
      <c r="M15"/>
      <c r="N15"/>
      <c r="O15"/>
      <c r="P15"/>
      <c r="Q15"/>
      <c r="R15"/>
      <c r="AA15" s="84"/>
      <c r="AB15" s="84"/>
      <c r="AC15" s="84"/>
      <c r="AD15" s="84"/>
      <c r="AE15" s="84"/>
      <c r="AF15" s="80" t="s">
        <v>876</v>
      </c>
      <c r="AG15" s="81">
        <v>0.16666666666666699</v>
      </c>
    </row>
    <row r="16" spans="8:33" x14ac:dyDescent="0.25">
      <c r="H16" s="1" t="s">
        <v>15</v>
      </c>
      <c r="I16" s="1" t="s">
        <v>16</v>
      </c>
      <c r="J16" s="16">
        <f>'Step 2 - Facility Data Inputs'!K15</f>
        <v>22.7</v>
      </c>
      <c r="M16" s="16"/>
      <c r="N16" s="16"/>
      <c r="O16" s="16"/>
      <c r="P16" s="16"/>
      <c r="Q16" s="16"/>
      <c r="R16" s="16"/>
      <c r="AA16" s="85"/>
      <c r="AB16" s="85"/>
      <c r="AC16" s="85"/>
      <c r="AD16" s="85"/>
      <c r="AE16" s="85"/>
      <c r="AF16" s="4" t="s">
        <v>876</v>
      </c>
      <c r="AG16" s="21">
        <f>'WZ Analysis (Worksheet)'!G31</f>
        <v>0</v>
      </c>
    </row>
    <row r="17" spans="1:34" ht="13.5" customHeight="1" x14ac:dyDescent="0.25">
      <c r="I17" s="1" t="s">
        <v>14</v>
      </c>
      <c r="J17" s="16">
        <f>'Step 2 - Facility Data Inputs'!K16</f>
        <v>10.3</v>
      </c>
      <c r="M17" s="16"/>
      <c r="N17" s="16"/>
      <c r="O17" s="16"/>
      <c r="P17" s="16"/>
      <c r="Q17" s="16"/>
      <c r="R17" s="16"/>
      <c r="AA17" s="86"/>
      <c r="AB17" s="86"/>
      <c r="AC17" s="86"/>
      <c r="AD17" s="86"/>
      <c r="AE17" s="86"/>
      <c r="AF17" s="4" t="s">
        <v>61</v>
      </c>
      <c r="AG17" s="21">
        <f>'Step 3 - WZ Analysis'!D18</f>
        <v>0</v>
      </c>
    </row>
    <row r="18" spans="1:34" x14ac:dyDescent="0.25">
      <c r="AA18" s="75"/>
      <c r="AB18" s="75"/>
      <c r="AC18" s="75"/>
      <c r="AD18" s="75"/>
      <c r="AE18" s="75"/>
      <c r="AF18"/>
      <c r="AG18" s="75">
        <f>COUNT(H22:H45)</f>
        <v>24</v>
      </c>
    </row>
    <row r="19" spans="1:34" ht="13.8" thickBot="1" x14ac:dyDescent="0.3">
      <c r="AA19" s="76"/>
      <c r="AB19" s="76"/>
      <c r="AC19" s="76"/>
      <c r="AD19" s="76"/>
      <c r="AE19" s="76"/>
      <c r="AF19"/>
      <c r="AG19" s="76">
        <f>AG16+AG17-AG18</f>
        <v>-24</v>
      </c>
    </row>
    <row r="20" spans="1:34" ht="25.5" customHeight="1" x14ac:dyDescent="0.3">
      <c r="A20" s="263" t="str">
        <f>'Step 2 - Facility Data Inputs'!E19</f>
        <v>Sunday</v>
      </c>
      <c r="B20" s="155"/>
      <c r="C20" s="156"/>
      <c r="D20" s="156"/>
      <c r="E20" s="157"/>
      <c r="F20" s="157"/>
      <c r="H20" s="7" t="str">
        <f>'Step 2 - Facility Data Inputs'!E19</f>
        <v>Sunday</v>
      </c>
      <c r="I20" s="8" t="s">
        <v>2</v>
      </c>
      <c r="J20" s="8"/>
      <c r="K20" s="8" t="s">
        <v>5</v>
      </c>
      <c r="L20" s="92" t="s">
        <v>875</v>
      </c>
      <c r="M20" s="92" t="s">
        <v>877</v>
      </c>
      <c r="N20" s="92" t="s">
        <v>878</v>
      </c>
      <c r="O20" s="92" t="s">
        <v>879</v>
      </c>
      <c r="P20" s="92" t="s">
        <v>910</v>
      </c>
      <c r="Q20" s="92" t="s">
        <v>880</v>
      </c>
      <c r="R20" s="92" t="s">
        <v>882</v>
      </c>
      <c r="S20" s="93" t="s">
        <v>6</v>
      </c>
      <c r="T20" s="94" t="s">
        <v>9</v>
      </c>
      <c r="U20" s="94" t="s">
        <v>11</v>
      </c>
      <c r="V20" s="94" t="s">
        <v>8</v>
      </c>
      <c r="W20" s="94" t="s">
        <v>7</v>
      </c>
      <c r="X20" s="94" t="s">
        <v>924</v>
      </c>
      <c r="Y20" s="94" t="s">
        <v>883</v>
      </c>
      <c r="Z20" s="95" t="s">
        <v>881</v>
      </c>
      <c r="AA20" s="95" t="s">
        <v>908</v>
      </c>
      <c r="AB20" s="95" t="s">
        <v>909</v>
      </c>
      <c r="AC20" s="96" t="s">
        <v>911</v>
      </c>
      <c r="AD20" s="96" t="s">
        <v>884</v>
      </c>
      <c r="AG20" s="74"/>
    </row>
    <row r="21" spans="1:34" ht="13.8" x14ac:dyDescent="0.25">
      <c r="A21" s="264"/>
      <c r="B21" s="122"/>
      <c r="C21" s="164" t="s">
        <v>906</v>
      </c>
      <c r="D21" s="2"/>
      <c r="E21" s="2"/>
      <c r="F21" s="2"/>
      <c r="H21" s="2"/>
      <c r="I21" s="10"/>
      <c r="J21" s="10"/>
      <c r="K21" s="10"/>
      <c r="L21" s="72"/>
      <c r="M21" s="72"/>
      <c r="N21" s="72"/>
      <c r="O21" s="72"/>
      <c r="P21" s="72"/>
      <c r="Q21" s="72"/>
      <c r="R21" s="72"/>
      <c r="S21" s="10"/>
      <c r="T21" s="10"/>
      <c r="U21" s="10"/>
      <c r="V21" s="10"/>
      <c r="W21" s="10"/>
      <c r="X21" s="10"/>
      <c r="Y21" s="10"/>
      <c r="Z21" s="10"/>
      <c r="AA21" s="10"/>
      <c r="AB21" s="10"/>
      <c r="AC21" s="10"/>
      <c r="AD21" s="10"/>
    </row>
    <row r="22" spans="1:34" ht="63.75" customHeight="1" x14ac:dyDescent="0.25">
      <c r="A22" s="264"/>
      <c r="B22" s="122"/>
      <c r="C22" s="121" t="s">
        <v>912</v>
      </c>
      <c r="D22" s="67">
        <f>'Step 3 - WZ Analysis'!D7</f>
        <v>1900</v>
      </c>
      <c r="E22" s="176" t="s">
        <v>919</v>
      </c>
      <c r="F22" s="167">
        <f>D22*$I$10</f>
        <v>0</v>
      </c>
      <c r="H22" s="88">
        <v>0</v>
      </c>
      <c r="I22" s="78">
        <v>0</v>
      </c>
      <c r="J22" s="79">
        <v>0</v>
      </c>
      <c r="K22" s="6">
        <f>'Step 2 - Facility Data Inputs'!E23</f>
        <v>0</v>
      </c>
      <c r="L22" s="72">
        <f t="shared" ref="L22:L45" si="0">$D$22*$I$10</f>
        <v>0</v>
      </c>
      <c r="M22" s="72">
        <f>K22</f>
        <v>0</v>
      </c>
      <c r="N22" s="72">
        <f>MIN(K22,L22)</f>
        <v>0</v>
      </c>
      <c r="O22" s="72">
        <f>M22-K22</f>
        <v>0</v>
      </c>
      <c r="P22" s="83" t="e">
        <f t="shared" ref="P22:P45" si="1">O22*$I$12/(5280*$I$10)</f>
        <v>#DIV/0!</v>
      </c>
      <c r="Q22" s="83" t="e">
        <f>60*O22/L22</f>
        <v>#DIV/0!</v>
      </c>
      <c r="R22" s="83" t="e">
        <f t="shared" ref="R22:R45" si="2">((O22*Q22)*$I$11*$J$16/(60))+((O22*Q22)*(1-$I$11)*$J$17/(60))</f>
        <v>#DIV/0!</v>
      </c>
      <c r="S22" s="10">
        <f t="shared" ref="S22:S45" si="3">IF($AG$19-H23&gt;=0,IF($G$30="",$F$29,$G$30),IF(AND(H22&gt;=$AG$16,H22&lt;$AG$16+$AG$17),IF($G$30="",$F$29,$G$30),$F$22))</f>
        <v>0</v>
      </c>
      <c r="T22" s="10">
        <f>K22</f>
        <v>0</v>
      </c>
      <c r="U22" s="10">
        <f>MIN(K22,S22)</f>
        <v>0</v>
      </c>
      <c r="V22" s="10">
        <f>K22-U22</f>
        <v>0</v>
      </c>
      <c r="W22" s="11" t="e">
        <f>V22*$I$12/(5280*$I$10)</f>
        <v>#DIV/0!</v>
      </c>
      <c r="X22" s="11">
        <f>IF(S22=0,60*V22,60*V22/S22)</f>
        <v>0</v>
      </c>
      <c r="Y22" s="83">
        <f>((V22*X22)*$I$11*$J$16/(60))+((V22*X22)*(1-$I$11)*$J$17/(60))</f>
        <v>0</v>
      </c>
      <c r="Z22" s="10">
        <f>V22-O22</f>
        <v>0</v>
      </c>
      <c r="AA22" s="11" t="e">
        <f>W22-P22</f>
        <v>#DIV/0!</v>
      </c>
      <c r="AB22" s="11" t="e">
        <f t="shared" ref="AB22:AB45" si="4">X22-Q22</f>
        <v>#DIV/0!</v>
      </c>
      <c r="AC22" s="11" t="e">
        <f>IF((X22-Q22)=0,IF(OR(AB45&lt;&gt;0,AB23&lt;&gt;0),0,NA()),X22)</f>
        <v>#DIV/0!</v>
      </c>
      <c r="AD22" s="11" t="e">
        <f>Y22-R22</f>
        <v>#DIV/0!</v>
      </c>
      <c r="AE22" s="19"/>
      <c r="AH22" s="3"/>
    </row>
    <row r="23" spans="1:34" x14ac:dyDescent="0.25">
      <c r="A23" s="264"/>
      <c r="B23" s="122"/>
      <c r="C23" s="2"/>
      <c r="D23" s="125"/>
      <c r="E23" s="2"/>
      <c r="F23" s="2"/>
      <c r="H23" s="88">
        <v>1</v>
      </c>
      <c r="I23" s="78">
        <v>4.1666666666666699E-2</v>
      </c>
      <c r="J23" s="79">
        <v>1</v>
      </c>
      <c r="K23" s="6">
        <f>'Step 2 - Facility Data Inputs'!E24</f>
        <v>0</v>
      </c>
      <c r="L23" s="72">
        <f t="shared" si="0"/>
        <v>0</v>
      </c>
      <c r="M23" s="72">
        <f>M22+K23</f>
        <v>0</v>
      </c>
      <c r="N23" s="72">
        <f>IF((K23&lt;M23),IF((L23-K23)&gt;O22,O22+K23+N22,L23+N22),(L23+N22))</f>
        <v>0</v>
      </c>
      <c r="O23" s="72">
        <f>IF((K23&lt;L23),IF((L23-K23)&gt;O22,0,O22-(L23-K23)),(O22+(K23-L23)))</f>
        <v>0</v>
      </c>
      <c r="P23" s="83" t="e">
        <f t="shared" si="1"/>
        <v>#DIV/0!</v>
      </c>
      <c r="Q23" s="83" t="e">
        <f t="shared" ref="Q23:Q45" si="5">60*O23/L23</f>
        <v>#DIV/0!</v>
      </c>
      <c r="R23" s="83" t="e">
        <f t="shared" si="2"/>
        <v>#DIV/0!</v>
      </c>
      <c r="S23" s="10">
        <f t="shared" si="3"/>
        <v>0</v>
      </c>
      <c r="T23" s="10">
        <f>T22+K23</f>
        <v>0</v>
      </c>
      <c r="U23" s="10">
        <f>IF((K23&lt;S23),IF((S23-K23)&gt;V22,V22+K23+U22,S23+U22),(S23+U22))</f>
        <v>0</v>
      </c>
      <c r="V23" s="10">
        <f>IF((K23&lt;S23),IF((S23-K23)&gt;V22,0,V22-(S23-K23)),(V22+(K23-S23)))</f>
        <v>0</v>
      </c>
      <c r="W23" s="11" t="e">
        <f t="shared" ref="W23:W45" si="6">V23*$I$12/(5280*$I$10)</f>
        <v>#DIV/0!</v>
      </c>
      <c r="X23" s="11">
        <f t="shared" ref="X23:X45" si="7">IF(S23=0,60*V23,60*V23/S23)</f>
        <v>0</v>
      </c>
      <c r="Y23" s="83">
        <f t="shared" ref="Y23:Y45" si="8">((V23*X23)*$I$11*$J$16/(60))+((V23*X23)*(1-$I$11)*$J$17/(60))</f>
        <v>0</v>
      </c>
      <c r="Z23" s="10">
        <f t="shared" ref="Z23:Z45" si="9">V23-O23</f>
        <v>0</v>
      </c>
      <c r="AA23" s="11" t="e">
        <f t="shared" ref="AA23:AA45" si="10">W23-P23</f>
        <v>#DIV/0!</v>
      </c>
      <c r="AB23" s="11" t="e">
        <f t="shared" si="4"/>
        <v>#DIV/0!</v>
      </c>
      <c r="AC23" s="11" t="e">
        <f t="shared" ref="AC23:AC44" si="11">IF((X23-Q23)=0,IF(OR(AB22&lt;&gt;0,AB24&lt;&gt;0),0,NA()),X23)</f>
        <v>#DIV/0!</v>
      </c>
      <c r="AD23" s="11" t="e">
        <f t="shared" ref="AD23:AD45" si="12">Y23-R23</f>
        <v>#DIV/0!</v>
      </c>
      <c r="AE23" s="19"/>
      <c r="AH23" s="3"/>
    </row>
    <row r="24" spans="1:34" ht="24" customHeight="1" x14ac:dyDescent="0.25">
      <c r="A24" s="264"/>
      <c r="B24" s="122"/>
      <c r="C24" s="165" t="s">
        <v>841</v>
      </c>
      <c r="D24" s="125"/>
      <c r="E24" s="2"/>
      <c r="F24" s="2"/>
      <c r="H24" s="74">
        <v>2</v>
      </c>
      <c r="I24" s="78">
        <v>8.3333333333333301E-2</v>
      </c>
      <c r="J24" s="79">
        <v>2</v>
      </c>
      <c r="K24" s="6">
        <f>'Step 2 - Facility Data Inputs'!E25</f>
        <v>0</v>
      </c>
      <c r="L24" s="72">
        <f t="shared" si="0"/>
        <v>0</v>
      </c>
      <c r="M24" s="72">
        <f t="shared" ref="M24:M45" si="13">M23+K24</f>
        <v>0</v>
      </c>
      <c r="N24" s="72">
        <f t="shared" ref="N24:N45" si="14">IF((K24&lt;M24),IF((L24-K24)&gt;O23,O23+K24+N23,L24+N23),(L24+N23))</f>
        <v>0</v>
      </c>
      <c r="O24" s="72">
        <f t="shared" ref="O24:O45" si="15">IF((K24&lt;L24),IF((L24-K24)&gt;O23,0,O23-(L24-K24)),(O23+(K24-L24)))</f>
        <v>0</v>
      </c>
      <c r="P24" s="83" t="e">
        <f t="shared" si="1"/>
        <v>#DIV/0!</v>
      </c>
      <c r="Q24" s="83" t="e">
        <f t="shared" si="5"/>
        <v>#DIV/0!</v>
      </c>
      <c r="R24" s="83" t="e">
        <f t="shared" si="2"/>
        <v>#DIV/0!</v>
      </c>
      <c r="S24" s="10">
        <f t="shared" si="3"/>
        <v>0</v>
      </c>
      <c r="T24" s="10">
        <f t="shared" ref="T24:T45" si="16">T23+K24</f>
        <v>0</v>
      </c>
      <c r="U24" s="10">
        <f>IF((K24&lt;S24),IF((S24-K24)&gt;V23,V23+K24+U23,S24+U23),(S24+U23))</f>
        <v>0</v>
      </c>
      <c r="V24" s="10">
        <f t="shared" ref="V24:V45" si="17">IF((K24&lt;S24),IF((S24-K24)&gt;V23,0,V23-(S24-K24)),(V23+(K24-S24)))</f>
        <v>0</v>
      </c>
      <c r="W24" s="11" t="e">
        <f t="shared" si="6"/>
        <v>#DIV/0!</v>
      </c>
      <c r="X24" s="11">
        <f t="shared" si="7"/>
        <v>0</v>
      </c>
      <c r="Y24" s="83">
        <f t="shared" si="8"/>
        <v>0</v>
      </c>
      <c r="Z24" s="10">
        <f t="shared" si="9"/>
        <v>0</v>
      </c>
      <c r="AA24" s="11" t="e">
        <f t="shared" si="10"/>
        <v>#DIV/0!</v>
      </c>
      <c r="AB24" s="11" t="e">
        <f t="shared" si="4"/>
        <v>#DIV/0!</v>
      </c>
      <c r="AC24" s="11" t="e">
        <f t="shared" si="11"/>
        <v>#DIV/0!</v>
      </c>
      <c r="AD24" s="11" t="e">
        <f t="shared" si="12"/>
        <v>#DIV/0!</v>
      </c>
      <c r="AE24" s="19"/>
      <c r="AH24" s="3"/>
    </row>
    <row r="25" spans="1:34" ht="12.75" customHeight="1" x14ac:dyDescent="0.25">
      <c r="A25" s="264"/>
      <c r="B25" s="122"/>
      <c r="C25" s="120" t="s">
        <v>920</v>
      </c>
      <c r="D25" s="262" t="str">
        <f>'Step 3 - WZ Analysis'!D10:F10</f>
        <v>(Example: Pothole Patching - Close One Lane OR Joint Repair - Two Lanes Closed)</v>
      </c>
      <c r="E25" s="262"/>
      <c r="F25" s="262"/>
      <c r="H25" s="111">
        <v>3</v>
      </c>
      <c r="I25" s="78">
        <v>0.125</v>
      </c>
      <c r="J25" s="79">
        <v>3</v>
      </c>
      <c r="K25" s="6">
        <f>'Step 2 - Facility Data Inputs'!E26</f>
        <v>0</v>
      </c>
      <c r="L25" s="72">
        <f t="shared" si="0"/>
        <v>0</v>
      </c>
      <c r="M25" s="72">
        <f t="shared" si="13"/>
        <v>0</v>
      </c>
      <c r="N25" s="72">
        <f t="shared" si="14"/>
        <v>0</v>
      </c>
      <c r="O25" s="72">
        <f t="shared" si="15"/>
        <v>0</v>
      </c>
      <c r="P25" s="83" t="e">
        <f t="shared" si="1"/>
        <v>#DIV/0!</v>
      </c>
      <c r="Q25" s="83" t="e">
        <f t="shared" si="5"/>
        <v>#DIV/0!</v>
      </c>
      <c r="R25" s="83" t="e">
        <f t="shared" si="2"/>
        <v>#DIV/0!</v>
      </c>
      <c r="S25" s="10">
        <f t="shared" si="3"/>
        <v>0</v>
      </c>
      <c r="T25" s="10">
        <f t="shared" si="16"/>
        <v>0</v>
      </c>
      <c r="U25" s="10">
        <f t="shared" ref="U25:U45" si="18">IF((K25&lt;S25),IF((S25-K25)&gt;V24,V24+K25+U24,S25+U24),(S25+U24))</f>
        <v>0</v>
      </c>
      <c r="V25" s="10">
        <f t="shared" si="17"/>
        <v>0</v>
      </c>
      <c r="W25" s="11" t="e">
        <f t="shared" si="6"/>
        <v>#DIV/0!</v>
      </c>
      <c r="X25" s="11">
        <f>IF(S25=0,60*V25,60*V25/S25)</f>
        <v>0</v>
      </c>
      <c r="Y25" s="83">
        <f t="shared" si="8"/>
        <v>0</v>
      </c>
      <c r="Z25" s="10">
        <f t="shared" si="9"/>
        <v>0</v>
      </c>
      <c r="AA25" s="11" t="e">
        <f t="shared" si="10"/>
        <v>#DIV/0!</v>
      </c>
      <c r="AB25" s="11" t="e">
        <f t="shared" si="4"/>
        <v>#DIV/0!</v>
      </c>
      <c r="AC25" s="11" t="e">
        <f t="shared" si="11"/>
        <v>#DIV/0!</v>
      </c>
      <c r="AD25" s="11" t="e">
        <f t="shared" si="12"/>
        <v>#DIV/0!</v>
      </c>
      <c r="AE25" s="19"/>
      <c r="AG25" s="1" t="s">
        <v>12</v>
      </c>
      <c r="AH25" s="3"/>
    </row>
    <row r="26" spans="1:34" x14ac:dyDescent="0.25">
      <c r="A26" s="264"/>
      <c r="B26" s="122"/>
      <c r="C26" s="120" t="s">
        <v>913</v>
      </c>
      <c r="D26" s="265" t="str">
        <f>'Step 3 - WZ Analysis'!D11:F11</f>
        <v>No Work Zone (Use for Calibrating Existing Conditions)</v>
      </c>
      <c r="E26" s="265"/>
      <c r="F26" s="265"/>
      <c r="G26">
        <f>VLOOKUP(D26,'Reference Sheet'!$S$2:$T$8,2)</f>
        <v>538</v>
      </c>
      <c r="H26" s="111">
        <v>4</v>
      </c>
      <c r="I26" s="78">
        <v>0.16666666666666699</v>
      </c>
      <c r="J26" s="79">
        <v>4</v>
      </c>
      <c r="K26" s="6">
        <f>'Step 2 - Facility Data Inputs'!E27</f>
        <v>0</v>
      </c>
      <c r="L26" s="72">
        <f t="shared" si="0"/>
        <v>0</v>
      </c>
      <c r="M26" s="72">
        <f t="shared" si="13"/>
        <v>0</v>
      </c>
      <c r="N26" s="72">
        <f t="shared" si="14"/>
        <v>0</v>
      </c>
      <c r="O26" s="72">
        <f t="shared" si="15"/>
        <v>0</v>
      </c>
      <c r="P26" s="83" t="e">
        <f t="shared" si="1"/>
        <v>#DIV/0!</v>
      </c>
      <c r="Q26" s="83" t="e">
        <f t="shared" si="5"/>
        <v>#DIV/0!</v>
      </c>
      <c r="R26" s="83" t="e">
        <f t="shared" si="2"/>
        <v>#DIV/0!</v>
      </c>
      <c r="S26" s="10">
        <f t="shared" si="3"/>
        <v>0</v>
      </c>
      <c r="T26" s="10">
        <f t="shared" si="16"/>
        <v>0</v>
      </c>
      <c r="U26" s="10">
        <f t="shared" si="18"/>
        <v>0</v>
      </c>
      <c r="V26" s="10">
        <f t="shared" si="17"/>
        <v>0</v>
      </c>
      <c r="W26" s="11" t="e">
        <f t="shared" si="6"/>
        <v>#DIV/0!</v>
      </c>
      <c r="X26" s="11">
        <f t="shared" si="7"/>
        <v>0</v>
      </c>
      <c r="Y26" s="83">
        <f t="shared" si="8"/>
        <v>0</v>
      </c>
      <c r="Z26" s="10">
        <f t="shared" si="9"/>
        <v>0</v>
      </c>
      <c r="AA26" s="11" t="e">
        <f t="shared" si="10"/>
        <v>#DIV/0!</v>
      </c>
      <c r="AB26" s="11" t="e">
        <f t="shared" si="4"/>
        <v>#DIV/0!</v>
      </c>
      <c r="AC26" s="11" t="e">
        <f t="shared" si="11"/>
        <v>#DIV/0!</v>
      </c>
      <c r="AD26" s="11" t="e">
        <f t="shared" si="12"/>
        <v>#DIV/0!</v>
      </c>
      <c r="AE26" s="19"/>
      <c r="AF26" s="4" t="s">
        <v>57</v>
      </c>
      <c r="AG26" s="3">
        <f>MAX(X22:X45)</f>
        <v>0</v>
      </c>
      <c r="AH26" s="3"/>
    </row>
    <row r="27" spans="1:34" x14ac:dyDescent="0.25">
      <c r="A27" s="264"/>
      <c r="B27" s="122"/>
      <c r="C27" s="120" t="s">
        <v>914</v>
      </c>
      <c r="D27" s="266" t="str">
        <f>'Step 3 - WZ Analysis'!D12:F12</f>
        <v>&gt; 11.5</v>
      </c>
      <c r="E27" s="266"/>
      <c r="F27" s="266"/>
      <c r="G27">
        <f>VLOOKUP(D27,'Reference Sheet'!$V$2:$W$4,2)</f>
        <v>1</v>
      </c>
      <c r="H27" s="111">
        <v>5</v>
      </c>
      <c r="I27" s="78">
        <v>0.20833333333333301</v>
      </c>
      <c r="J27" s="79">
        <v>5</v>
      </c>
      <c r="K27" s="6">
        <f>'Step 2 - Facility Data Inputs'!E28</f>
        <v>0</v>
      </c>
      <c r="L27" s="72">
        <f t="shared" si="0"/>
        <v>0</v>
      </c>
      <c r="M27" s="72">
        <f t="shared" si="13"/>
        <v>0</v>
      </c>
      <c r="N27" s="72">
        <f t="shared" si="14"/>
        <v>0</v>
      </c>
      <c r="O27" s="72">
        <f t="shared" si="15"/>
        <v>0</v>
      </c>
      <c r="P27" s="83" t="e">
        <f t="shared" si="1"/>
        <v>#DIV/0!</v>
      </c>
      <c r="Q27" s="83" t="e">
        <f t="shared" si="5"/>
        <v>#DIV/0!</v>
      </c>
      <c r="R27" s="83" t="e">
        <f t="shared" si="2"/>
        <v>#DIV/0!</v>
      </c>
      <c r="S27" s="10">
        <f t="shared" si="3"/>
        <v>0</v>
      </c>
      <c r="T27" s="10">
        <f t="shared" si="16"/>
        <v>0</v>
      </c>
      <c r="U27" s="10">
        <f t="shared" si="18"/>
        <v>0</v>
      </c>
      <c r="V27" s="10">
        <f t="shared" si="17"/>
        <v>0</v>
      </c>
      <c r="W27" s="11" t="e">
        <f t="shared" si="6"/>
        <v>#DIV/0!</v>
      </c>
      <c r="X27" s="11">
        <f t="shared" si="7"/>
        <v>0</v>
      </c>
      <c r="Y27" s="83">
        <f t="shared" si="8"/>
        <v>0</v>
      </c>
      <c r="Z27" s="10">
        <f t="shared" si="9"/>
        <v>0</v>
      </c>
      <c r="AA27" s="11" t="e">
        <f t="shared" si="10"/>
        <v>#DIV/0!</v>
      </c>
      <c r="AB27" s="11" t="e">
        <f t="shared" si="4"/>
        <v>#DIV/0!</v>
      </c>
      <c r="AC27" s="11" t="e">
        <f t="shared" si="11"/>
        <v>#DIV/0!</v>
      </c>
      <c r="AD27" s="11" t="e">
        <f t="shared" si="12"/>
        <v>#DIV/0!</v>
      </c>
      <c r="AE27" s="19"/>
      <c r="AH27" s="3"/>
    </row>
    <row r="28" spans="1:34" ht="76.5" customHeight="1" x14ac:dyDescent="0.25">
      <c r="A28" s="264"/>
      <c r="B28" s="122"/>
      <c r="C28" s="120" t="s">
        <v>915</v>
      </c>
      <c r="D28" s="267">
        <f>'Step 3 - WZ Analysis'!D13</f>
        <v>0</v>
      </c>
      <c r="E28" s="268"/>
      <c r="F28" s="269"/>
      <c r="H28" s="111">
        <v>6</v>
      </c>
      <c r="I28" s="78">
        <v>0.25</v>
      </c>
      <c r="J28" s="79">
        <v>6</v>
      </c>
      <c r="K28" s="6">
        <f>'Step 2 - Facility Data Inputs'!E29</f>
        <v>0</v>
      </c>
      <c r="L28" s="72">
        <f t="shared" si="0"/>
        <v>0</v>
      </c>
      <c r="M28" s="72">
        <f t="shared" si="13"/>
        <v>0</v>
      </c>
      <c r="N28" s="72">
        <f t="shared" si="14"/>
        <v>0</v>
      </c>
      <c r="O28" s="72">
        <f t="shared" si="15"/>
        <v>0</v>
      </c>
      <c r="P28" s="83" t="e">
        <f t="shared" si="1"/>
        <v>#DIV/0!</v>
      </c>
      <c r="Q28" s="83" t="e">
        <f t="shared" si="5"/>
        <v>#DIV/0!</v>
      </c>
      <c r="R28" s="83" t="e">
        <f t="shared" si="2"/>
        <v>#DIV/0!</v>
      </c>
      <c r="S28" s="10">
        <f t="shared" si="3"/>
        <v>0</v>
      </c>
      <c r="T28" s="10">
        <f t="shared" si="16"/>
        <v>0</v>
      </c>
      <c r="U28" s="10">
        <f t="shared" si="18"/>
        <v>0</v>
      </c>
      <c r="V28" s="10">
        <f t="shared" si="17"/>
        <v>0</v>
      </c>
      <c r="W28" s="11" t="e">
        <f t="shared" si="6"/>
        <v>#DIV/0!</v>
      </c>
      <c r="X28" s="11">
        <f t="shared" si="7"/>
        <v>0</v>
      </c>
      <c r="Y28" s="83">
        <f t="shared" si="8"/>
        <v>0</v>
      </c>
      <c r="Z28" s="10">
        <f t="shared" si="9"/>
        <v>0</v>
      </c>
      <c r="AA28" s="11" t="e">
        <f t="shared" si="10"/>
        <v>#DIV/0!</v>
      </c>
      <c r="AB28" s="11" t="e">
        <f t="shared" si="4"/>
        <v>#DIV/0!</v>
      </c>
      <c r="AC28" s="11" t="e">
        <f t="shared" si="11"/>
        <v>#DIV/0!</v>
      </c>
      <c r="AD28" s="11" t="e">
        <f t="shared" si="12"/>
        <v>#DIV/0!</v>
      </c>
      <c r="AE28" s="19"/>
      <c r="AF28" s="4" t="s">
        <v>58</v>
      </c>
      <c r="AG28" s="3" t="e">
        <f>(SUM(V22:V45)/T45)*60</f>
        <v>#DIV/0!</v>
      </c>
      <c r="AH28" s="3"/>
    </row>
    <row r="29" spans="1:34" ht="66" x14ac:dyDescent="0.25">
      <c r="A29" s="264"/>
      <c r="B29" s="122"/>
      <c r="C29" s="121" t="s">
        <v>917</v>
      </c>
      <c r="D29" s="178">
        <f>IF(G26=538,D22,IF(VLOOKUP((G26+G27),'HCM 2010 Program'!$C$3:$H$20,6)&gt;(D22),D22,VLOOKUP((G26+G27),'HCM 2010 Program'!$C$3:$H$20,6)))</f>
        <v>1900</v>
      </c>
      <c r="E29" s="55" t="s">
        <v>923</v>
      </c>
      <c r="F29" s="168">
        <f>MIN((D29*D28),F22)</f>
        <v>0</v>
      </c>
      <c r="G29" s="55" t="s">
        <v>925</v>
      </c>
      <c r="H29" s="111">
        <v>7</v>
      </c>
      <c r="I29" s="78">
        <v>0.29166666666666702</v>
      </c>
      <c r="J29" s="79">
        <v>7</v>
      </c>
      <c r="K29" s="6">
        <f>'Step 2 - Facility Data Inputs'!E30</f>
        <v>0</v>
      </c>
      <c r="L29" s="72">
        <f t="shared" si="0"/>
        <v>0</v>
      </c>
      <c r="M29" s="72">
        <f t="shared" si="13"/>
        <v>0</v>
      </c>
      <c r="N29" s="72">
        <f t="shared" si="14"/>
        <v>0</v>
      </c>
      <c r="O29" s="72">
        <f t="shared" si="15"/>
        <v>0</v>
      </c>
      <c r="P29" s="83" t="e">
        <f t="shared" si="1"/>
        <v>#DIV/0!</v>
      </c>
      <c r="Q29" s="83" t="e">
        <f t="shared" si="5"/>
        <v>#DIV/0!</v>
      </c>
      <c r="R29" s="83" t="e">
        <f t="shared" si="2"/>
        <v>#DIV/0!</v>
      </c>
      <c r="S29" s="10">
        <f t="shared" si="3"/>
        <v>0</v>
      </c>
      <c r="T29" s="10">
        <f t="shared" si="16"/>
        <v>0</v>
      </c>
      <c r="U29" s="10">
        <f t="shared" si="18"/>
        <v>0</v>
      </c>
      <c r="V29" s="10">
        <f t="shared" si="17"/>
        <v>0</v>
      </c>
      <c r="W29" s="11" t="e">
        <f t="shared" si="6"/>
        <v>#DIV/0!</v>
      </c>
      <c r="X29" s="11">
        <f t="shared" si="7"/>
        <v>0</v>
      </c>
      <c r="Y29" s="83">
        <f t="shared" si="8"/>
        <v>0</v>
      </c>
      <c r="Z29" s="10">
        <f t="shared" si="9"/>
        <v>0</v>
      </c>
      <c r="AA29" s="11" t="e">
        <f t="shared" si="10"/>
        <v>#DIV/0!</v>
      </c>
      <c r="AB29" s="11" t="e">
        <f t="shared" si="4"/>
        <v>#DIV/0!</v>
      </c>
      <c r="AC29" s="11" t="e">
        <f t="shared" si="11"/>
        <v>#DIV/0!</v>
      </c>
      <c r="AD29" s="11" t="e">
        <f t="shared" si="12"/>
        <v>#DIV/0!</v>
      </c>
      <c r="AE29" s="19"/>
      <c r="AH29" s="3"/>
    </row>
    <row r="30" spans="1:34" ht="79.2" x14ac:dyDescent="0.25">
      <c r="A30" s="264"/>
      <c r="B30" s="122"/>
      <c r="C30" s="121" t="s">
        <v>916</v>
      </c>
      <c r="D30" s="124"/>
      <c r="E30" s="166">
        <f>'Step 3 - WZ Analysis'!E15</f>
        <v>0</v>
      </c>
      <c r="F30" s="123"/>
      <c r="G30" s="74" t="str">
        <f>IF('Step 3 - WZ Analysis'!E15="","",'Step 3 - WZ Analysis'!E15)</f>
        <v/>
      </c>
      <c r="H30" s="111">
        <v>8</v>
      </c>
      <c r="I30" s="78">
        <v>0.33333333333333298</v>
      </c>
      <c r="J30" s="79">
        <v>8</v>
      </c>
      <c r="K30" s="6">
        <f>'Step 2 - Facility Data Inputs'!E31</f>
        <v>0</v>
      </c>
      <c r="L30" s="72">
        <f t="shared" si="0"/>
        <v>0</v>
      </c>
      <c r="M30" s="72">
        <f t="shared" si="13"/>
        <v>0</v>
      </c>
      <c r="N30" s="72">
        <f t="shared" si="14"/>
        <v>0</v>
      </c>
      <c r="O30" s="72">
        <f t="shared" si="15"/>
        <v>0</v>
      </c>
      <c r="P30" s="83" t="e">
        <f t="shared" si="1"/>
        <v>#DIV/0!</v>
      </c>
      <c r="Q30" s="83" t="e">
        <f t="shared" si="5"/>
        <v>#DIV/0!</v>
      </c>
      <c r="R30" s="83" t="e">
        <f t="shared" si="2"/>
        <v>#DIV/0!</v>
      </c>
      <c r="S30" s="10">
        <f t="shared" si="3"/>
        <v>0</v>
      </c>
      <c r="T30" s="10">
        <f t="shared" si="16"/>
        <v>0</v>
      </c>
      <c r="U30" s="10">
        <f t="shared" si="18"/>
        <v>0</v>
      </c>
      <c r="V30" s="10">
        <f t="shared" si="17"/>
        <v>0</v>
      </c>
      <c r="W30" s="11" t="e">
        <f t="shared" si="6"/>
        <v>#DIV/0!</v>
      </c>
      <c r="X30" s="11">
        <f t="shared" si="7"/>
        <v>0</v>
      </c>
      <c r="Y30" s="83">
        <f t="shared" si="8"/>
        <v>0</v>
      </c>
      <c r="Z30" s="10">
        <f t="shared" si="9"/>
        <v>0</v>
      </c>
      <c r="AA30" s="11" t="e">
        <f t="shared" si="10"/>
        <v>#DIV/0!</v>
      </c>
      <c r="AB30" s="11" t="e">
        <f t="shared" si="4"/>
        <v>#DIV/0!</v>
      </c>
      <c r="AC30" s="11" t="e">
        <f t="shared" si="11"/>
        <v>#DIV/0!</v>
      </c>
      <c r="AD30" s="11" t="e">
        <f t="shared" si="12"/>
        <v>#DIV/0!</v>
      </c>
      <c r="AE30" s="19"/>
      <c r="AH30" s="3"/>
    </row>
    <row r="31" spans="1:34" x14ac:dyDescent="0.25">
      <c r="A31" s="264"/>
      <c r="B31" s="122"/>
      <c r="C31" s="114" t="s">
        <v>900</v>
      </c>
      <c r="D31" s="270">
        <f>'Step 3 - WZ Analysis'!D16:F16</f>
        <v>0</v>
      </c>
      <c r="E31" s="270"/>
      <c r="F31" s="270"/>
      <c r="G31" s="173">
        <f>VLOOKUP('Step 3 - WZ Analysis'!D16,'WZ Analysis (Worksheet)'!$I$22:$J$45,2)</f>
        <v>0</v>
      </c>
      <c r="H31" s="111">
        <v>9</v>
      </c>
      <c r="I31" s="78">
        <v>0.375</v>
      </c>
      <c r="J31" s="79">
        <v>9</v>
      </c>
      <c r="K31" s="6">
        <f>'Step 2 - Facility Data Inputs'!E32</f>
        <v>0</v>
      </c>
      <c r="L31" s="72">
        <f t="shared" si="0"/>
        <v>0</v>
      </c>
      <c r="M31" s="72">
        <f t="shared" si="13"/>
        <v>0</v>
      </c>
      <c r="N31" s="72">
        <f t="shared" si="14"/>
        <v>0</v>
      </c>
      <c r="O31" s="72">
        <f t="shared" si="15"/>
        <v>0</v>
      </c>
      <c r="P31" s="83" t="e">
        <f t="shared" si="1"/>
        <v>#DIV/0!</v>
      </c>
      <c r="Q31" s="83" t="e">
        <f t="shared" si="5"/>
        <v>#DIV/0!</v>
      </c>
      <c r="R31" s="83" t="e">
        <f t="shared" si="2"/>
        <v>#DIV/0!</v>
      </c>
      <c r="S31" s="10">
        <f t="shared" si="3"/>
        <v>0</v>
      </c>
      <c r="T31" s="10">
        <f t="shared" si="16"/>
        <v>0</v>
      </c>
      <c r="U31" s="10">
        <f t="shared" si="18"/>
        <v>0</v>
      </c>
      <c r="V31" s="10">
        <f t="shared" si="17"/>
        <v>0</v>
      </c>
      <c r="W31" s="11" t="e">
        <f t="shared" si="6"/>
        <v>#DIV/0!</v>
      </c>
      <c r="X31" s="11">
        <f t="shared" si="7"/>
        <v>0</v>
      </c>
      <c r="Y31" s="83">
        <f t="shared" si="8"/>
        <v>0</v>
      </c>
      <c r="Z31" s="10">
        <f t="shared" si="9"/>
        <v>0</v>
      </c>
      <c r="AA31" s="11" t="e">
        <f t="shared" si="10"/>
        <v>#DIV/0!</v>
      </c>
      <c r="AB31" s="11" t="e">
        <f t="shared" si="4"/>
        <v>#DIV/0!</v>
      </c>
      <c r="AC31" s="11" t="e">
        <f t="shared" si="11"/>
        <v>#DIV/0!</v>
      </c>
      <c r="AD31" s="11" t="e">
        <f t="shared" si="12"/>
        <v>#DIV/0!</v>
      </c>
      <c r="AE31" s="19"/>
      <c r="AF31" s="4" t="s">
        <v>17</v>
      </c>
      <c r="AG31" s="17">
        <f>Z46</f>
        <v>0</v>
      </c>
      <c r="AH31" s="3"/>
    </row>
    <row r="32" spans="1:34" x14ac:dyDescent="0.25">
      <c r="A32" s="264"/>
      <c r="B32" s="122"/>
      <c r="C32" s="114" t="s">
        <v>901</v>
      </c>
      <c r="D32" s="270">
        <f>'Step 3 - WZ Analysis'!D17:F17</f>
        <v>0</v>
      </c>
      <c r="E32" s="270"/>
      <c r="F32" s="270"/>
      <c r="G32" s="173">
        <f>VLOOKUP('Step 3 - WZ Analysis'!D17,'WZ Analysis (Worksheet)'!$I$22:$J$45,2)</f>
        <v>0</v>
      </c>
      <c r="H32" s="111">
        <v>10</v>
      </c>
      <c r="I32" s="78">
        <v>0.41666666666666702</v>
      </c>
      <c r="J32" s="79">
        <v>10</v>
      </c>
      <c r="K32" s="6">
        <f>'Step 2 - Facility Data Inputs'!E33</f>
        <v>0</v>
      </c>
      <c r="L32" s="72">
        <f t="shared" si="0"/>
        <v>0</v>
      </c>
      <c r="M32" s="72">
        <f t="shared" si="13"/>
        <v>0</v>
      </c>
      <c r="N32" s="72">
        <f t="shared" si="14"/>
        <v>0</v>
      </c>
      <c r="O32" s="72">
        <f t="shared" si="15"/>
        <v>0</v>
      </c>
      <c r="P32" s="83" t="e">
        <f t="shared" si="1"/>
        <v>#DIV/0!</v>
      </c>
      <c r="Q32" s="83" t="e">
        <f t="shared" si="5"/>
        <v>#DIV/0!</v>
      </c>
      <c r="R32" s="83" t="e">
        <f t="shared" si="2"/>
        <v>#DIV/0!</v>
      </c>
      <c r="S32" s="10">
        <f t="shared" si="3"/>
        <v>0</v>
      </c>
      <c r="T32" s="10">
        <f t="shared" si="16"/>
        <v>0</v>
      </c>
      <c r="U32" s="10">
        <f t="shared" si="18"/>
        <v>0</v>
      </c>
      <c r="V32" s="10">
        <f t="shared" si="17"/>
        <v>0</v>
      </c>
      <c r="W32" s="11" t="e">
        <f t="shared" si="6"/>
        <v>#DIV/0!</v>
      </c>
      <c r="X32" s="11">
        <f t="shared" si="7"/>
        <v>0</v>
      </c>
      <c r="Y32" s="83">
        <f t="shared" si="8"/>
        <v>0</v>
      </c>
      <c r="Z32" s="10">
        <f t="shared" si="9"/>
        <v>0</v>
      </c>
      <c r="AA32" s="11" t="e">
        <f t="shared" si="10"/>
        <v>#DIV/0!</v>
      </c>
      <c r="AB32" s="11" t="e">
        <f t="shared" si="4"/>
        <v>#DIV/0!</v>
      </c>
      <c r="AC32" s="11" t="e">
        <f t="shared" si="11"/>
        <v>#DIV/0!</v>
      </c>
      <c r="AD32" s="11" t="e">
        <f t="shared" si="12"/>
        <v>#DIV/0!</v>
      </c>
      <c r="AE32" s="19"/>
      <c r="AH32" s="3"/>
    </row>
    <row r="33" spans="1:34" x14ac:dyDescent="0.25">
      <c r="A33" s="264"/>
      <c r="B33" s="122"/>
      <c r="C33" s="114" t="s">
        <v>902</v>
      </c>
      <c r="D33" s="261">
        <f>'Step 3 - WZ Analysis'!D18:F18</f>
        <v>0</v>
      </c>
      <c r="E33" s="261"/>
      <c r="F33" s="261"/>
      <c r="H33" s="111">
        <v>11</v>
      </c>
      <c r="I33" s="78">
        <v>0.45833333333333298</v>
      </c>
      <c r="J33" s="79">
        <v>11</v>
      </c>
      <c r="K33" s="6">
        <f>'Step 2 - Facility Data Inputs'!E34</f>
        <v>0</v>
      </c>
      <c r="L33" s="72">
        <f t="shared" si="0"/>
        <v>0</v>
      </c>
      <c r="M33" s="72">
        <f t="shared" si="13"/>
        <v>0</v>
      </c>
      <c r="N33" s="72">
        <f t="shared" si="14"/>
        <v>0</v>
      </c>
      <c r="O33" s="72">
        <f t="shared" si="15"/>
        <v>0</v>
      </c>
      <c r="P33" s="83" t="e">
        <f t="shared" si="1"/>
        <v>#DIV/0!</v>
      </c>
      <c r="Q33" s="83" t="e">
        <f t="shared" si="5"/>
        <v>#DIV/0!</v>
      </c>
      <c r="R33" s="83" t="e">
        <f t="shared" si="2"/>
        <v>#DIV/0!</v>
      </c>
      <c r="S33" s="10">
        <f t="shared" si="3"/>
        <v>0</v>
      </c>
      <c r="T33" s="10">
        <f t="shared" si="16"/>
        <v>0</v>
      </c>
      <c r="U33" s="10">
        <f t="shared" si="18"/>
        <v>0</v>
      </c>
      <c r="V33" s="10">
        <f t="shared" si="17"/>
        <v>0</v>
      </c>
      <c r="W33" s="11" t="e">
        <f t="shared" si="6"/>
        <v>#DIV/0!</v>
      </c>
      <c r="X33" s="11">
        <f t="shared" si="7"/>
        <v>0</v>
      </c>
      <c r="Y33" s="83">
        <f t="shared" si="8"/>
        <v>0</v>
      </c>
      <c r="Z33" s="10">
        <f t="shared" si="9"/>
        <v>0</v>
      </c>
      <c r="AA33" s="11" t="e">
        <f t="shared" si="10"/>
        <v>#DIV/0!</v>
      </c>
      <c r="AB33" s="11" t="e">
        <f t="shared" si="4"/>
        <v>#DIV/0!</v>
      </c>
      <c r="AC33" s="11" t="e">
        <f t="shared" si="11"/>
        <v>#DIV/0!</v>
      </c>
      <c r="AD33" s="11" t="e">
        <f t="shared" si="12"/>
        <v>#DIV/0!</v>
      </c>
      <c r="AE33" s="19"/>
      <c r="AF33" s="4" t="s">
        <v>59</v>
      </c>
      <c r="AG33" s="3" t="e">
        <f>W46</f>
        <v>#DIV/0!</v>
      </c>
      <c r="AH33" s="3"/>
    </row>
    <row r="34" spans="1:34" x14ac:dyDescent="0.25">
      <c r="A34" s="264"/>
      <c r="B34" s="122"/>
      <c r="C34" s="117"/>
      <c r="D34" s="2"/>
      <c r="E34" s="2"/>
      <c r="F34" s="38"/>
      <c r="H34" s="111">
        <v>12</v>
      </c>
      <c r="I34" s="78">
        <v>0.5</v>
      </c>
      <c r="J34" s="79">
        <v>12</v>
      </c>
      <c r="K34" s="6">
        <f>'Step 2 - Facility Data Inputs'!E35</f>
        <v>0</v>
      </c>
      <c r="L34" s="72">
        <f t="shared" si="0"/>
        <v>0</v>
      </c>
      <c r="M34" s="72">
        <f t="shared" si="13"/>
        <v>0</v>
      </c>
      <c r="N34" s="72">
        <f t="shared" si="14"/>
        <v>0</v>
      </c>
      <c r="O34" s="72">
        <f t="shared" si="15"/>
        <v>0</v>
      </c>
      <c r="P34" s="83" t="e">
        <f t="shared" si="1"/>
        <v>#DIV/0!</v>
      </c>
      <c r="Q34" s="83" t="e">
        <f t="shared" si="5"/>
        <v>#DIV/0!</v>
      </c>
      <c r="R34" s="83" t="e">
        <f t="shared" si="2"/>
        <v>#DIV/0!</v>
      </c>
      <c r="S34" s="10">
        <f t="shared" si="3"/>
        <v>0</v>
      </c>
      <c r="T34" s="10">
        <f t="shared" si="16"/>
        <v>0</v>
      </c>
      <c r="U34" s="10">
        <f t="shared" si="18"/>
        <v>0</v>
      </c>
      <c r="V34" s="10">
        <f t="shared" si="17"/>
        <v>0</v>
      </c>
      <c r="W34" s="11" t="e">
        <f t="shared" si="6"/>
        <v>#DIV/0!</v>
      </c>
      <c r="X34" s="11">
        <f t="shared" si="7"/>
        <v>0</v>
      </c>
      <c r="Y34" s="83">
        <f t="shared" si="8"/>
        <v>0</v>
      </c>
      <c r="Z34" s="10">
        <f t="shared" si="9"/>
        <v>0</v>
      </c>
      <c r="AA34" s="11" t="e">
        <f t="shared" si="10"/>
        <v>#DIV/0!</v>
      </c>
      <c r="AB34" s="11" t="e">
        <f t="shared" si="4"/>
        <v>#DIV/0!</v>
      </c>
      <c r="AC34" s="11" t="e">
        <f t="shared" si="11"/>
        <v>#DIV/0!</v>
      </c>
      <c r="AD34" s="11" t="e">
        <f t="shared" si="12"/>
        <v>#DIV/0!</v>
      </c>
      <c r="AE34" s="19"/>
      <c r="AF34" s="4"/>
      <c r="AG34" s="3"/>
      <c r="AH34" s="3"/>
    </row>
    <row r="35" spans="1:34" ht="13.8" x14ac:dyDescent="0.25">
      <c r="A35" s="264"/>
      <c r="B35" s="122"/>
      <c r="C35" s="164" t="s">
        <v>896</v>
      </c>
      <c r="D35" s="2"/>
      <c r="E35" s="2"/>
      <c r="F35" s="38"/>
      <c r="H35" s="111">
        <v>13</v>
      </c>
      <c r="I35" s="78">
        <v>0.54166666666666696</v>
      </c>
      <c r="J35" s="79">
        <v>13</v>
      </c>
      <c r="K35" s="6">
        <f>'Step 2 - Facility Data Inputs'!E36</f>
        <v>0</v>
      </c>
      <c r="L35" s="72">
        <f t="shared" si="0"/>
        <v>0</v>
      </c>
      <c r="M35" s="72">
        <f t="shared" si="13"/>
        <v>0</v>
      </c>
      <c r="N35" s="72">
        <f t="shared" si="14"/>
        <v>0</v>
      </c>
      <c r="O35" s="72">
        <f t="shared" si="15"/>
        <v>0</v>
      </c>
      <c r="P35" s="83" t="e">
        <f t="shared" si="1"/>
        <v>#DIV/0!</v>
      </c>
      <c r="Q35" s="83" t="e">
        <f t="shared" si="5"/>
        <v>#DIV/0!</v>
      </c>
      <c r="R35" s="83" t="e">
        <f t="shared" si="2"/>
        <v>#DIV/0!</v>
      </c>
      <c r="S35" s="10">
        <f t="shared" si="3"/>
        <v>0</v>
      </c>
      <c r="T35" s="10">
        <f t="shared" si="16"/>
        <v>0</v>
      </c>
      <c r="U35" s="10">
        <f t="shared" si="18"/>
        <v>0</v>
      </c>
      <c r="V35" s="10">
        <f t="shared" si="17"/>
        <v>0</v>
      </c>
      <c r="W35" s="11" t="e">
        <f t="shared" si="6"/>
        <v>#DIV/0!</v>
      </c>
      <c r="X35" s="11">
        <f t="shared" si="7"/>
        <v>0</v>
      </c>
      <c r="Y35" s="83">
        <f t="shared" si="8"/>
        <v>0</v>
      </c>
      <c r="Z35" s="10">
        <f t="shared" si="9"/>
        <v>0</v>
      </c>
      <c r="AA35" s="11" t="e">
        <f t="shared" si="10"/>
        <v>#DIV/0!</v>
      </c>
      <c r="AB35" s="11" t="e">
        <f t="shared" si="4"/>
        <v>#DIV/0!</v>
      </c>
      <c r="AC35" s="11" t="e">
        <f t="shared" si="11"/>
        <v>#DIV/0!</v>
      </c>
      <c r="AD35" s="11" t="e">
        <f t="shared" si="12"/>
        <v>#DIV/0!</v>
      </c>
      <c r="AE35" s="19"/>
      <c r="AF35" s="4"/>
      <c r="AH35" s="3"/>
    </row>
    <row r="36" spans="1:34" x14ac:dyDescent="0.25">
      <c r="A36" s="264"/>
      <c r="B36" s="122"/>
      <c r="C36" s="114" t="s">
        <v>899</v>
      </c>
      <c r="D36" s="118" t="s">
        <v>895</v>
      </c>
      <c r="E36" s="118" t="s">
        <v>898</v>
      </c>
      <c r="F36" s="119" t="s">
        <v>897</v>
      </c>
      <c r="H36" s="111">
        <v>14</v>
      </c>
      <c r="I36" s="78">
        <v>0.58333333333333304</v>
      </c>
      <c r="J36" s="79">
        <v>14</v>
      </c>
      <c r="K36" s="6">
        <f>'Step 2 - Facility Data Inputs'!E37</f>
        <v>0</v>
      </c>
      <c r="L36" s="72">
        <f t="shared" si="0"/>
        <v>0</v>
      </c>
      <c r="M36" s="72">
        <f t="shared" si="13"/>
        <v>0</v>
      </c>
      <c r="N36" s="72">
        <f t="shared" si="14"/>
        <v>0</v>
      </c>
      <c r="O36" s="72">
        <f t="shared" si="15"/>
        <v>0</v>
      </c>
      <c r="P36" s="83" t="e">
        <f t="shared" si="1"/>
        <v>#DIV/0!</v>
      </c>
      <c r="Q36" s="83" t="e">
        <f t="shared" si="5"/>
        <v>#DIV/0!</v>
      </c>
      <c r="R36" s="83" t="e">
        <f t="shared" si="2"/>
        <v>#DIV/0!</v>
      </c>
      <c r="S36" s="10">
        <f t="shared" si="3"/>
        <v>0</v>
      </c>
      <c r="T36" s="10">
        <f t="shared" si="16"/>
        <v>0</v>
      </c>
      <c r="U36" s="10">
        <f t="shared" si="18"/>
        <v>0</v>
      </c>
      <c r="V36" s="10">
        <f t="shared" si="17"/>
        <v>0</v>
      </c>
      <c r="W36" s="11" t="e">
        <f t="shared" si="6"/>
        <v>#DIV/0!</v>
      </c>
      <c r="X36" s="11">
        <f t="shared" si="7"/>
        <v>0</v>
      </c>
      <c r="Y36" s="83">
        <f t="shared" si="8"/>
        <v>0</v>
      </c>
      <c r="Z36" s="10">
        <f t="shared" si="9"/>
        <v>0</v>
      </c>
      <c r="AA36" s="11" t="e">
        <f t="shared" si="10"/>
        <v>#DIV/0!</v>
      </c>
      <c r="AB36" s="11" t="e">
        <f t="shared" si="4"/>
        <v>#DIV/0!</v>
      </c>
      <c r="AC36" s="11" t="e">
        <f t="shared" si="11"/>
        <v>#DIV/0!</v>
      </c>
      <c r="AD36" s="11" t="e">
        <f t="shared" si="12"/>
        <v>#DIV/0!</v>
      </c>
      <c r="AE36" s="19"/>
      <c r="AH36" s="3"/>
    </row>
    <row r="37" spans="1:34" x14ac:dyDescent="0.25">
      <c r="A37" s="264"/>
      <c r="B37" s="122"/>
      <c r="C37" s="114" t="s">
        <v>903</v>
      </c>
      <c r="D37" s="112" t="e">
        <f>'Step 3 - WZ Analysis'!D22</f>
        <v>#DIV/0!</v>
      </c>
      <c r="E37" s="112" t="e">
        <f>'Step 3 - WZ Analysis'!E22</f>
        <v>#DIV/0!</v>
      </c>
      <c r="F37" s="112" t="e">
        <f>'Step 3 - WZ Analysis'!F22</f>
        <v>#DIV/0!</v>
      </c>
      <c r="H37" s="111">
        <v>15</v>
      </c>
      <c r="I37" s="78">
        <v>0.625</v>
      </c>
      <c r="J37" s="79">
        <v>15</v>
      </c>
      <c r="K37" s="6">
        <f>'Step 2 - Facility Data Inputs'!E38</f>
        <v>0</v>
      </c>
      <c r="L37" s="72">
        <f t="shared" si="0"/>
        <v>0</v>
      </c>
      <c r="M37" s="72">
        <f t="shared" si="13"/>
        <v>0</v>
      </c>
      <c r="N37" s="72">
        <f t="shared" si="14"/>
        <v>0</v>
      </c>
      <c r="O37" s="72">
        <f t="shared" si="15"/>
        <v>0</v>
      </c>
      <c r="P37" s="83" t="e">
        <f t="shared" si="1"/>
        <v>#DIV/0!</v>
      </c>
      <c r="Q37" s="83" t="e">
        <f t="shared" si="5"/>
        <v>#DIV/0!</v>
      </c>
      <c r="R37" s="83" t="e">
        <f t="shared" si="2"/>
        <v>#DIV/0!</v>
      </c>
      <c r="S37" s="10">
        <f t="shared" si="3"/>
        <v>0</v>
      </c>
      <c r="T37" s="10">
        <f t="shared" si="16"/>
        <v>0</v>
      </c>
      <c r="U37" s="10">
        <f t="shared" si="18"/>
        <v>0</v>
      </c>
      <c r="V37" s="10">
        <f t="shared" si="17"/>
        <v>0</v>
      </c>
      <c r="W37" s="11" t="e">
        <f t="shared" si="6"/>
        <v>#DIV/0!</v>
      </c>
      <c r="X37" s="11">
        <f t="shared" si="7"/>
        <v>0</v>
      </c>
      <c r="Y37" s="83">
        <f t="shared" si="8"/>
        <v>0</v>
      </c>
      <c r="Z37" s="10">
        <f t="shared" si="9"/>
        <v>0</v>
      </c>
      <c r="AA37" s="11" t="e">
        <f t="shared" si="10"/>
        <v>#DIV/0!</v>
      </c>
      <c r="AB37" s="11" t="e">
        <f t="shared" si="4"/>
        <v>#DIV/0!</v>
      </c>
      <c r="AC37" s="11" t="e">
        <f t="shared" si="11"/>
        <v>#DIV/0!</v>
      </c>
      <c r="AD37" s="11" t="e">
        <f t="shared" si="12"/>
        <v>#DIV/0!</v>
      </c>
      <c r="AE37" s="19"/>
      <c r="AH37" s="3"/>
    </row>
    <row r="38" spans="1:34" x14ac:dyDescent="0.25">
      <c r="A38" s="264"/>
      <c r="B38" s="122"/>
      <c r="C38" s="114" t="s">
        <v>904</v>
      </c>
      <c r="D38" s="113" t="e">
        <f>'Step 3 - WZ Analysis'!D23</f>
        <v>#DIV/0!</v>
      </c>
      <c r="E38" s="113" t="e">
        <f>'Step 3 - WZ Analysis'!E23</f>
        <v>#DIV/0!</v>
      </c>
      <c r="F38" s="113">
        <f>'Step 3 - WZ Analysis'!F23</f>
        <v>0</v>
      </c>
      <c r="H38" s="111">
        <v>16</v>
      </c>
      <c r="I38" s="78">
        <v>0.66666666666666696</v>
      </c>
      <c r="J38" s="79">
        <v>16</v>
      </c>
      <c r="K38" s="6">
        <f>'Step 2 - Facility Data Inputs'!E39</f>
        <v>0</v>
      </c>
      <c r="L38" s="72">
        <f t="shared" si="0"/>
        <v>0</v>
      </c>
      <c r="M38" s="72">
        <f t="shared" si="13"/>
        <v>0</v>
      </c>
      <c r="N38" s="72">
        <f t="shared" si="14"/>
        <v>0</v>
      </c>
      <c r="O38" s="72">
        <f t="shared" si="15"/>
        <v>0</v>
      </c>
      <c r="P38" s="83" t="e">
        <f t="shared" si="1"/>
        <v>#DIV/0!</v>
      </c>
      <c r="Q38" s="83" t="e">
        <f t="shared" si="5"/>
        <v>#DIV/0!</v>
      </c>
      <c r="R38" s="83" t="e">
        <f t="shared" si="2"/>
        <v>#DIV/0!</v>
      </c>
      <c r="S38" s="10">
        <f t="shared" si="3"/>
        <v>0</v>
      </c>
      <c r="T38" s="10">
        <f t="shared" si="16"/>
        <v>0</v>
      </c>
      <c r="U38" s="10">
        <f t="shared" si="18"/>
        <v>0</v>
      </c>
      <c r="V38" s="10">
        <f t="shared" si="17"/>
        <v>0</v>
      </c>
      <c r="W38" s="11" t="e">
        <f t="shared" si="6"/>
        <v>#DIV/0!</v>
      </c>
      <c r="X38" s="11">
        <f t="shared" si="7"/>
        <v>0</v>
      </c>
      <c r="Y38" s="83">
        <f t="shared" si="8"/>
        <v>0</v>
      </c>
      <c r="Z38" s="10">
        <f t="shared" si="9"/>
        <v>0</v>
      </c>
      <c r="AA38" s="11" t="e">
        <f t="shared" si="10"/>
        <v>#DIV/0!</v>
      </c>
      <c r="AB38" s="11" t="e">
        <f t="shared" si="4"/>
        <v>#DIV/0!</v>
      </c>
      <c r="AC38" s="11" t="e">
        <f t="shared" si="11"/>
        <v>#DIV/0!</v>
      </c>
      <c r="AD38" s="11" t="e">
        <f t="shared" si="12"/>
        <v>#DIV/0!</v>
      </c>
      <c r="AE38" s="19"/>
      <c r="AH38" s="3"/>
    </row>
    <row r="39" spans="1:34" x14ac:dyDescent="0.25">
      <c r="A39" s="264"/>
      <c r="B39" s="122"/>
      <c r="C39" s="114" t="s">
        <v>905</v>
      </c>
      <c r="D39" s="115" t="e">
        <f>'Step 3 - WZ Analysis'!D24</f>
        <v>#DIV/0!</v>
      </c>
      <c r="E39" s="115" t="e">
        <f>'Step 3 - WZ Analysis'!E24</f>
        <v>#DIV/0!</v>
      </c>
      <c r="F39" s="115" t="e">
        <f>'Step 3 - WZ Analysis'!F24</f>
        <v>#DIV/0!</v>
      </c>
      <c r="H39" s="111">
        <v>17</v>
      </c>
      <c r="I39" s="78">
        <v>0.70833333333333304</v>
      </c>
      <c r="J39" s="79">
        <v>17</v>
      </c>
      <c r="K39" s="6">
        <f>'Step 2 - Facility Data Inputs'!E40</f>
        <v>0</v>
      </c>
      <c r="L39" s="72">
        <f t="shared" si="0"/>
        <v>0</v>
      </c>
      <c r="M39" s="72">
        <f t="shared" si="13"/>
        <v>0</v>
      </c>
      <c r="N39" s="72">
        <f t="shared" si="14"/>
        <v>0</v>
      </c>
      <c r="O39" s="72">
        <f t="shared" si="15"/>
        <v>0</v>
      </c>
      <c r="P39" s="83" t="e">
        <f t="shared" si="1"/>
        <v>#DIV/0!</v>
      </c>
      <c r="Q39" s="83" t="e">
        <f t="shared" si="5"/>
        <v>#DIV/0!</v>
      </c>
      <c r="R39" s="83" t="e">
        <f t="shared" si="2"/>
        <v>#DIV/0!</v>
      </c>
      <c r="S39" s="10">
        <f t="shared" si="3"/>
        <v>0</v>
      </c>
      <c r="T39" s="10">
        <f t="shared" si="16"/>
        <v>0</v>
      </c>
      <c r="U39" s="10">
        <f t="shared" si="18"/>
        <v>0</v>
      </c>
      <c r="V39" s="10">
        <f t="shared" si="17"/>
        <v>0</v>
      </c>
      <c r="W39" s="11" t="e">
        <f t="shared" si="6"/>
        <v>#DIV/0!</v>
      </c>
      <c r="X39" s="11">
        <f t="shared" si="7"/>
        <v>0</v>
      </c>
      <c r="Y39" s="83">
        <f t="shared" si="8"/>
        <v>0</v>
      </c>
      <c r="Z39" s="10">
        <f t="shared" si="9"/>
        <v>0</v>
      </c>
      <c r="AA39" s="11" t="e">
        <f t="shared" si="10"/>
        <v>#DIV/0!</v>
      </c>
      <c r="AB39" s="11" t="e">
        <f t="shared" si="4"/>
        <v>#DIV/0!</v>
      </c>
      <c r="AC39" s="11" t="e">
        <f t="shared" si="11"/>
        <v>#DIV/0!</v>
      </c>
      <c r="AD39" s="11" t="e">
        <f t="shared" si="12"/>
        <v>#DIV/0!</v>
      </c>
      <c r="AE39" s="19"/>
      <c r="AH39" s="3"/>
    </row>
    <row r="40" spans="1:34" ht="13.8" thickBot="1" x14ac:dyDescent="0.3">
      <c r="A40" s="264"/>
      <c r="B40" s="161"/>
      <c r="C40" s="162"/>
      <c r="D40" s="162"/>
      <c r="E40" s="162"/>
      <c r="F40" s="12"/>
      <c r="H40" s="111">
        <v>18</v>
      </c>
      <c r="I40" s="78">
        <v>0.75</v>
      </c>
      <c r="J40" s="79">
        <v>18</v>
      </c>
      <c r="K40" s="6">
        <f>'Step 2 - Facility Data Inputs'!E41</f>
        <v>0</v>
      </c>
      <c r="L40" s="72">
        <f t="shared" si="0"/>
        <v>0</v>
      </c>
      <c r="M40" s="72">
        <f t="shared" si="13"/>
        <v>0</v>
      </c>
      <c r="N40" s="72">
        <f t="shared" si="14"/>
        <v>0</v>
      </c>
      <c r="O40" s="72">
        <f t="shared" si="15"/>
        <v>0</v>
      </c>
      <c r="P40" s="83" t="e">
        <f t="shared" si="1"/>
        <v>#DIV/0!</v>
      </c>
      <c r="Q40" s="83" t="e">
        <f t="shared" si="5"/>
        <v>#DIV/0!</v>
      </c>
      <c r="R40" s="83" t="e">
        <f t="shared" si="2"/>
        <v>#DIV/0!</v>
      </c>
      <c r="S40" s="10">
        <f t="shared" si="3"/>
        <v>0</v>
      </c>
      <c r="T40" s="10">
        <f t="shared" si="16"/>
        <v>0</v>
      </c>
      <c r="U40" s="10">
        <f t="shared" si="18"/>
        <v>0</v>
      </c>
      <c r="V40" s="10">
        <f t="shared" si="17"/>
        <v>0</v>
      </c>
      <c r="W40" s="11" t="e">
        <f t="shared" si="6"/>
        <v>#DIV/0!</v>
      </c>
      <c r="X40" s="11">
        <f t="shared" si="7"/>
        <v>0</v>
      </c>
      <c r="Y40" s="83">
        <f t="shared" si="8"/>
        <v>0</v>
      </c>
      <c r="Z40" s="10">
        <f t="shared" si="9"/>
        <v>0</v>
      </c>
      <c r="AA40" s="11" t="e">
        <f t="shared" si="10"/>
        <v>#DIV/0!</v>
      </c>
      <c r="AB40" s="11" t="e">
        <f t="shared" si="4"/>
        <v>#DIV/0!</v>
      </c>
      <c r="AC40" s="11" t="e">
        <f t="shared" si="11"/>
        <v>#DIV/0!</v>
      </c>
      <c r="AD40" s="11" t="e">
        <f t="shared" si="12"/>
        <v>#DIV/0!</v>
      </c>
      <c r="AE40" s="19"/>
      <c r="AH40" s="3"/>
    </row>
    <row r="41" spans="1:34" x14ac:dyDescent="0.25">
      <c r="H41" s="111">
        <v>19</v>
      </c>
      <c r="I41" s="78">
        <v>0.79166666666666696</v>
      </c>
      <c r="J41" s="79">
        <v>19</v>
      </c>
      <c r="K41" s="6">
        <f>'Step 2 - Facility Data Inputs'!E42</f>
        <v>0</v>
      </c>
      <c r="L41" s="72">
        <f t="shared" si="0"/>
        <v>0</v>
      </c>
      <c r="M41" s="72">
        <f t="shared" si="13"/>
        <v>0</v>
      </c>
      <c r="N41" s="72">
        <f t="shared" si="14"/>
        <v>0</v>
      </c>
      <c r="O41" s="72">
        <f t="shared" si="15"/>
        <v>0</v>
      </c>
      <c r="P41" s="83" t="e">
        <f t="shared" si="1"/>
        <v>#DIV/0!</v>
      </c>
      <c r="Q41" s="83" t="e">
        <f t="shared" si="5"/>
        <v>#DIV/0!</v>
      </c>
      <c r="R41" s="83" t="e">
        <f t="shared" si="2"/>
        <v>#DIV/0!</v>
      </c>
      <c r="S41" s="10">
        <f t="shared" si="3"/>
        <v>0</v>
      </c>
      <c r="T41" s="10">
        <f t="shared" si="16"/>
        <v>0</v>
      </c>
      <c r="U41" s="10">
        <f t="shared" si="18"/>
        <v>0</v>
      </c>
      <c r="V41" s="10">
        <f t="shared" si="17"/>
        <v>0</v>
      </c>
      <c r="W41" s="11" t="e">
        <f t="shared" si="6"/>
        <v>#DIV/0!</v>
      </c>
      <c r="X41" s="11">
        <f t="shared" si="7"/>
        <v>0</v>
      </c>
      <c r="Y41" s="83">
        <f t="shared" si="8"/>
        <v>0</v>
      </c>
      <c r="Z41" s="10">
        <f t="shared" si="9"/>
        <v>0</v>
      </c>
      <c r="AA41" s="11" t="e">
        <f t="shared" si="10"/>
        <v>#DIV/0!</v>
      </c>
      <c r="AB41" s="11" t="e">
        <f t="shared" si="4"/>
        <v>#DIV/0!</v>
      </c>
      <c r="AC41" s="11" t="e">
        <f t="shared" si="11"/>
        <v>#DIV/0!</v>
      </c>
      <c r="AD41" s="11" t="e">
        <f t="shared" si="12"/>
        <v>#DIV/0!</v>
      </c>
      <c r="AE41" s="19"/>
      <c r="AH41" s="3"/>
    </row>
    <row r="42" spans="1:34" x14ac:dyDescent="0.25">
      <c r="H42" s="111">
        <v>20</v>
      </c>
      <c r="I42" s="78">
        <v>0.83333333333333304</v>
      </c>
      <c r="J42" s="79">
        <v>20</v>
      </c>
      <c r="K42" s="6">
        <f>'Step 2 - Facility Data Inputs'!E43</f>
        <v>0</v>
      </c>
      <c r="L42" s="72">
        <f t="shared" si="0"/>
        <v>0</v>
      </c>
      <c r="M42" s="72">
        <f t="shared" si="13"/>
        <v>0</v>
      </c>
      <c r="N42" s="72">
        <f t="shared" si="14"/>
        <v>0</v>
      </c>
      <c r="O42" s="72">
        <f t="shared" si="15"/>
        <v>0</v>
      </c>
      <c r="P42" s="83" t="e">
        <f t="shared" si="1"/>
        <v>#DIV/0!</v>
      </c>
      <c r="Q42" s="83" t="e">
        <f t="shared" si="5"/>
        <v>#DIV/0!</v>
      </c>
      <c r="R42" s="83" t="e">
        <f t="shared" si="2"/>
        <v>#DIV/0!</v>
      </c>
      <c r="S42" s="10">
        <f t="shared" si="3"/>
        <v>0</v>
      </c>
      <c r="T42" s="10">
        <f t="shared" si="16"/>
        <v>0</v>
      </c>
      <c r="U42" s="10">
        <f t="shared" si="18"/>
        <v>0</v>
      </c>
      <c r="V42" s="10">
        <f t="shared" si="17"/>
        <v>0</v>
      </c>
      <c r="W42" s="11" t="e">
        <f t="shared" si="6"/>
        <v>#DIV/0!</v>
      </c>
      <c r="X42" s="11">
        <f t="shared" si="7"/>
        <v>0</v>
      </c>
      <c r="Y42" s="83">
        <f t="shared" si="8"/>
        <v>0</v>
      </c>
      <c r="Z42" s="10">
        <f t="shared" si="9"/>
        <v>0</v>
      </c>
      <c r="AA42" s="11" t="e">
        <f t="shared" si="10"/>
        <v>#DIV/0!</v>
      </c>
      <c r="AB42" s="11" t="e">
        <f t="shared" si="4"/>
        <v>#DIV/0!</v>
      </c>
      <c r="AC42" s="11" t="e">
        <f t="shared" si="11"/>
        <v>#DIV/0!</v>
      </c>
      <c r="AD42" s="11" t="e">
        <f t="shared" si="12"/>
        <v>#DIV/0!</v>
      </c>
      <c r="AE42" s="19"/>
      <c r="AH42" s="3"/>
    </row>
    <row r="43" spans="1:34" x14ac:dyDescent="0.25">
      <c r="H43" s="111">
        <v>21</v>
      </c>
      <c r="I43" s="78">
        <v>0.875</v>
      </c>
      <c r="J43" s="79">
        <v>21</v>
      </c>
      <c r="K43" s="6">
        <f>'Step 2 - Facility Data Inputs'!E44</f>
        <v>0</v>
      </c>
      <c r="L43" s="72">
        <f t="shared" si="0"/>
        <v>0</v>
      </c>
      <c r="M43" s="72">
        <f t="shared" si="13"/>
        <v>0</v>
      </c>
      <c r="N43" s="72">
        <f t="shared" si="14"/>
        <v>0</v>
      </c>
      <c r="O43" s="72">
        <f t="shared" si="15"/>
        <v>0</v>
      </c>
      <c r="P43" s="83" t="e">
        <f t="shared" si="1"/>
        <v>#DIV/0!</v>
      </c>
      <c r="Q43" s="83" t="e">
        <f t="shared" si="5"/>
        <v>#DIV/0!</v>
      </c>
      <c r="R43" s="83" t="e">
        <f t="shared" si="2"/>
        <v>#DIV/0!</v>
      </c>
      <c r="S43" s="10">
        <f t="shared" si="3"/>
        <v>0</v>
      </c>
      <c r="T43" s="10">
        <f t="shared" si="16"/>
        <v>0</v>
      </c>
      <c r="U43" s="10">
        <f t="shared" si="18"/>
        <v>0</v>
      </c>
      <c r="V43" s="10">
        <f t="shared" si="17"/>
        <v>0</v>
      </c>
      <c r="W43" s="11" t="e">
        <f t="shared" si="6"/>
        <v>#DIV/0!</v>
      </c>
      <c r="X43" s="11">
        <f t="shared" si="7"/>
        <v>0</v>
      </c>
      <c r="Y43" s="83">
        <f t="shared" si="8"/>
        <v>0</v>
      </c>
      <c r="Z43" s="10">
        <f t="shared" si="9"/>
        <v>0</v>
      </c>
      <c r="AA43" s="11" t="e">
        <f t="shared" si="10"/>
        <v>#DIV/0!</v>
      </c>
      <c r="AB43" s="11" t="e">
        <f t="shared" si="4"/>
        <v>#DIV/0!</v>
      </c>
      <c r="AC43" s="11" t="e">
        <f t="shared" si="11"/>
        <v>#DIV/0!</v>
      </c>
      <c r="AD43" s="11" t="e">
        <f t="shared" si="12"/>
        <v>#DIV/0!</v>
      </c>
      <c r="AE43" s="19"/>
      <c r="AH43" s="3"/>
    </row>
    <row r="44" spans="1:34" ht="11.25" customHeight="1" x14ac:dyDescent="0.25">
      <c r="H44" s="111">
        <v>22</v>
      </c>
      <c r="I44" s="78">
        <v>0.91666666666666696</v>
      </c>
      <c r="J44" s="79">
        <v>22</v>
      </c>
      <c r="K44" s="6">
        <f>'Step 2 - Facility Data Inputs'!E45</f>
        <v>0</v>
      </c>
      <c r="L44" s="72">
        <f t="shared" si="0"/>
        <v>0</v>
      </c>
      <c r="M44" s="72">
        <f t="shared" si="13"/>
        <v>0</v>
      </c>
      <c r="N44" s="72">
        <f t="shared" si="14"/>
        <v>0</v>
      </c>
      <c r="O44" s="72">
        <f t="shared" si="15"/>
        <v>0</v>
      </c>
      <c r="P44" s="83" t="e">
        <f t="shared" si="1"/>
        <v>#DIV/0!</v>
      </c>
      <c r="Q44" s="83" t="e">
        <f t="shared" si="5"/>
        <v>#DIV/0!</v>
      </c>
      <c r="R44" s="83" t="e">
        <f t="shared" si="2"/>
        <v>#DIV/0!</v>
      </c>
      <c r="S44" s="10">
        <f t="shared" si="3"/>
        <v>0</v>
      </c>
      <c r="T44" s="10">
        <f t="shared" si="16"/>
        <v>0</v>
      </c>
      <c r="U44" s="10">
        <f t="shared" si="18"/>
        <v>0</v>
      </c>
      <c r="V44" s="10">
        <f t="shared" si="17"/>
        <v>0</v>
      </c>
      <c r="W44" s="11" t="e">
        <f t="shared" si="6"/>
        <v>#DIV/0!</v>
      </c>
      <c r="X44" s="11">
        <f t="shared" si="7"/>
        <v>0</v>
      </c>
      <c r="Y44" s="83">
        <f t="shared" si="8"/>
        <v>0</v>
      </c>
      <c r="Z44" s="10">
        <f t="shared" si="9"/>
        <v>0</v>
      </c>
      <c r="AA44" s="11" t="e">
        <f t="shared" si="10"/>
        <v>#DIV/0!</v>
      </c>
      <c r="AB44" s="11" t="e">
        <f t="shared" si="4"/>
        <v>#DIV/0!</v>
      </c>
      <c r="AC44" s="11" t="e">
        <f t="shared" si="11"/>
        <v>#DIV/0!</v>
      </c>
      <c r="AD44" s="11" t="e">
        <f t="shared" si="12"/>
        <v>#DIV/0!</v>
      </c>
      <c r="AE44" s="19"/>
      <c r="AH44" s="3"/>
    </row>
    <row r="45" spans="1:34" ht="13.8" thickBot="1" x14ac:dyDescent="0.3">
      <c r="H45" s="89">
        <v>23</v>
      </c>
      <c r="I45" s="78">
        <v>0.95833333333333304</v>
      </c>
      <c r="J45" s="79">
        <v>23</v>
      </c>
      <c r="K45" s="6">
        <f>'Step 2 - Facility Data Inputs'!E46</f>
        <v>0</v>
      </c>
      <c r="L45" s="72">
        <f t="shared" si="0"/>
        <v>0</v>
      </c>
      <c r="M45" s="72">
        <f t="shared" si="13"/>
        <v>0</v>
      </c>
      <c r="N45" s="72">
        <f t="shared" si="14"/>
        <v>0</v>
      </c>
      <c r="O45" s="72">
        <f t="shared" si="15"/>
        <v>0</v>
      </c>
      <c r="P45" s="83" t="e">
        <f t="shared" si="1"/>
        <v>#DIV/0!</v>
      </c>
      <c r="Q45" s="83" t="e">
        <f t="shared" si="5"/>
        <v>#DIV/0!</v>
      </c>
      <c r="R45" s="83" t="e">
        <f t="shared" si="2"/>
        <v>#DIV/0!</v>
      </c>
      <c r="S45" s="10">
        <f t="shared" si="3"/>
        <v>0</v>
      </c>
      <c r="T45" s="13">
        <f t="shared" si="16"/>
        <v>0</v>
      </c>
      <c r="U45" s="13">
        <f t="shared" si="18"/>
        <v>0</v>
      </c>
      <c r="V45" s="13">
        <f t="shared" si="17"/>
        <v>0</v>
      </c>
      <c r="W45" s="11" t="e">
        <f t="shared" si="6"/>
        <v>#DIV/0!</v>
      </c>
      <c r="X45" s="11">
        <f t="shared" si="7"/>
        <v>0</v>
      </c>
      <c r="Y45" s="83">
        <f t="shared" si="8"/>
        <v>0</v>
      </c>
      <c r="Z45" s="13">
        <f t="shared" si="9"/>
        <v>0</v>
      </c>
      <c r="AA45" s="14" t="e">
        <f t="shared" si="10"/>
        <v>#DIV/0!</v>
      </c>
      <c r="AB45" s="11" t="e">
        <f t="shared" si="4"/>
        <v>#DIV/0!</v>
      </c>
      <c r="AC45" s="11" t="e">
        <f>IF((X45-Q45)=0,IF(OR(AB44&lt;&gt;0,AB22&lt;&gt;0),0,NA()),X45)</f>
        <v>#DIV/0!</v>
      </c>
      <c r="AD45" s="11" t="e">
        <f t="shared" si="12"/>
        <v>#DIV/0!</v>
      </c>
      <c r="AE45" s="19"/>
      <c r="AH45" s="3"/>
    </row>
    <row r="46" spans="1:34" x14ac:dyDescent="0.25">
      <c r="I46" s="5"/>
      <c r="J46" s="5"/>
      <c r="K46" s="5"/>
      <c r="L46" s="73"/>
      <c r="M46" s="73"/>
      <c r="N46" s="73"/>
      <c r="O46" s="73"/>
      <c r="P46" s="97" t="e">
        <f>MAX(P22:P45)</f>
        <v>#DIV/0!</v>
      </c>
      <c r="Q46" s="97" t="e">
        <f>MAX(Q22:Q45)</f>
        <v>#DIV/0!</v>
      </c>
      <c r="R46" s="97" t="e">
        <f>(SUM(R22:R45))</f>
        <v>#DIV/0!</v>
      </c>
      <c r="S46" s="5"/>
      <c r="T46" s="5"/>
      <c r="U46" s="5"/>
      <c r="V46" s="5"/>
      <c r="W46" s="97" t="e">
        <f>MAX(W22:W45)</f>
        <v>#DIV/0!</v>
      </c>
      <c r="X46" s="97">
        <f>MAX(X22:X45)</f>
        <v>0</v>
      </c>
      <c r="Y46" s="97">
        <f>ROUND(SUM(Y22:Y45),0)</f>
        <v>0</v>
      </c>
      <c r="Z46" s="19">
        <f>SUM(Z22:Z45)</f>
        <v>0</v>
      </c>
      <c r="AA46" s="97" t="e">
        <f>MAX(AA22:AA45)</f>
        <v>#DIV/0!</v>
      </c>
      <c r="AB46" s="97" t="e">
        <f>MAX(AB22:AB45)</f>
        <v>#DIV/0!</v>
      </c>
      <c r="AC46" s="97"/>
      <c r="AD46" s="97" t="e">
        <f>ROUND(SUM(AD22:AD45),0)</f>
        <v>#DIV/0!</v>
      </c>
      <c r="AE46" s="19"/>
    </row>
    <row r="47" spans="1:34" x14ac:dyDescent="0.25">
      <c r="I47" s="5"/>
      <c r="J47" s="5"/>
      <c r="K47" s="5"/>
      <c r="L47" s="73"/>
      <c r="M47" s="73"/>
      <c r="N47" s="73"/>
      <c r="O47" s="73"/>
      <c r="P47" s="73"/>
      <c r="Q47" s="73"/>
      <c r="R47" s="73" t="e">
        <f>IF(R46&lt;100,ROUND(R46,0),IF(R46&lt;1000,ROUND(R46,-1),ROUND(R46,-2)))</f>
        <v>#DIV/0!</v>
      </c>
      <c r="S47" s="5"/>
      <c r="T47" s="5"/>
      <c r="U47" s="5"/>
      <c r="V47" s="5"/>
      <c r="W47" s="5"/>
      <c r="X47" s="5"/>
      <c r="Y47" s="73" t="e">
        <f>AD47+R47</f>
        <v>#DIV/0!</v>
      </c>
      <c r="AD47" s="73" t="e">
        <f>IF(AD46&lt;100,ROUND(AD46,0),IF(AD46&lt;1000,ROUND(AD46,-1),ROUND(AD46,-2)))</f>
        <v>#DIV/0!</v>
      </c>
    </row>
    <row r="48" spans="1:34" ht="13.8" thickBot="1" x14ac:dyDescent="0.3">
      <c r="I48" s="5"/>
      <c r="J48" s="5"/>
      <c r="K48" s="5"/>
      <c r="L48" s="73"/>
      <c r="M48" s="73"/>
      <c r="N48" s="73"/>
      <c r="O48" s="73"/>
      <c r="P48" s="73"/>
      <c r="Q48" s="73"/>
      <c r="R48" s="73"/>
      <c r="S48" s="5"/>
      <c r="T48" s="5"/>
      <c r="U48" s="5"/>
      <c r="V48" s="5"/>
      <c r="W48" s="5"/>
      <c r="X48" s="5"/>
      <c r="Y48" s="5"/>
    </row>
    <row r="49" spans="1:33" ht="25.5" customHeight="1" x14ac:dyDescent="0.3">
      <c r="A49" s="271" t="str">
        <f>'Step 2 - Facility Data Inputs'!F19</f>
        <v>Monday</v>
      </c>
      <c r="B49" s="155"/>
      <c r="C49" s="156"/>
      <c r="D49" s="156"/>
      <c r="E49" s="157"/>
      <c r="F49" s="157"/>
      <c r="H49" s="7" t="str">
        <f>'Step 2 - Facility Data Inputs'!F19</f>
        <v>Monday</v>
      </c>
      <c r="I49" s="8" t="s">
        <v>2</v>
      </c>
      <c r="J49" s="8"/>
      <c r="K49" s="8" t="s">
        <v>5</v>
      </c>
      <c r="L49" s="92" t="s">
        <v>875</v>
      </c>
      <c r="M49" s="92" t="s">
        <v>877</v>
      </c>
      <c r="N49" s="92" t="s">
        <v>878</v>
      </c>
      <c r="O49" s="92" t="s">
        <v>879</v>
      </c>
      <c r="P49" s="92" t="s">
        <v>910</v>
      </c>
      <c r="Q49" s="92" t="s">
        <v>880</v>
      </c>
      <c r="R49" s="92" t="s">
        <v>882</v>
      </c>
      <c r="S49" s="93" t="s">
        <v>6</v>
      </c>
      <c r="T49" s="94" t="s">
        <v>9</v>
      </c>
      <c r="U49" s="94" t="s">
        <v>11</v>
      </c>
      <c r="V49" s="94" t="s">
        <v>8</v>
      </c>
      <c r="W49" s="9" t="s">
        <v>7</v>
      </c>
      <c r="X49" s="9" t="s">
        <v>924</v>
      </c>
      <c r="Y49" s="94" t="s">
        <v>883</v>
      </c>
      <c r="Z49" s="95" t="s">
        <v>881</v>
      </c>
      <c r="AA49" s="95" t="s">
        <v>908</v>
      </c>
      <c r="AB49" s="95" t="s">
        <v>909</v>
      </c>
      <c r="AC49" s="96" t="s">
        <v>911</v>
      </c>
      <c r="AD49" s="96" t="s">
        <v>884</v>
      </c>
    </row>
    <row r="50" spans="1:33" ht="13.8" x14ac:dyDescent="0.25">
      <c r="A50" s="272"/>
      <c r="B50" s="122"/>
      <c r="C50" s="164" t="s">
        <v>906</v>
      </c>
      <c r="D50" s="2"/>
      <c r="E50" s="2"/>
      <c r="F50" s="2"/>
      <c r="H50" s="2"/>
      <c r="I50" s="10"/>
      <c r="J50" s="10"/>
      <c r="K50" s="10"/>
      <c r="L50" s="72"/>
      <c r="M50" s="72"/>
      <c r="N50" s="72"/>
      <c r="O50" s="72"/>
      <c r="P50" s="72"/>
      <c r="Q50" s="72"/>
      <c r="R50" s="72"/>
      <c r="S50" s="10"/>
      <c r="T50" s="10"/>
      <c r="U50" s="10"/>
      <c r="V50" s="10"/>
      <c r="W50" s="10"/>
      <c r="X50" s="10"/>
      <c r="Y50" s="10"/>
      <c r="Z50" s="10"/>
      <c r="AA50" s="10"/>
      <c r="AB50" s="10"/>
      <c r="AC50" s="10"/>
      <c r="AD50" s="10"/>
      <c r="AF50" s="4" t="s">
        <v>60</v>
      </c>
      <c r="AG50" s="22">
        <f>G60</f>
        <v>0</v>
      </c>
    </row>
    <row r="51" spans="1:33" ht="63.75" customHeight="1" x14ac:dyDescent="0.25">
      <c r="A51" s="272"/>
      <c r="B51" s="122"/>
      <c r="C51" s="121" t="s">
        <v>912</v>
      </c>
      <c r="D51" s="194">
        <f>'Step 3 - WZ Analysis'!D29</f>
        <v>1900</v>
      </c>
      <c r="E51" s="176" t="s">
        <v>919</v>
      </c>
      <c r="F51" s="167">
        <f>D51*$I$10</f>
        <v>0</v>
      </c>
      <c r="H51" s="88">
        <v>0</v>
      </c>
      <c r="I51" s="78">
        <v>0</v>
      </c>
      <c r="J51" s="79">
        <v>0</v>
      </c>
      <c r="K51" s="6">
        <f>'Step 2 - Facility Data Inputs'!F23</f>
        <v>0</v>
      </c>
      <c r="L51" s="179">
        <f>$F$51</f>
        <v>0</v>
      </c>
      <c r="M51" s="72">
        <f>K51</f>
        <v>0</v>
      </c>
      <c r="N51" s="72">
        <f>MIN(K51,L51)</f>
        <v>0</v>
      </c>
      <c r="O51" s="72">
        <f>M51-K51</f>
        <v>0</v>
      </c>
      <c r="P51" s="83" t="e">
        <f>O51*$I$12/(5280*$I$10)</f>
        <v>#DIV/0!</v>
      </c>
      <c r="Q51" s="83" t="e">
        <f>60*O51/L51</f>
        <v>#DIV/0!</v>
      </c>
      <c r="R51" s="83" t="e">
        <f>((O51*Q51)*$I$11*$J$16/(60))+((O51*Q51)*(1-$I$11)*$J$17/(60))</f>
        <v>#DIV/0!</v>
      </c>
      <c r="S51" s="10">
        <f>IF($AG$54-H52&gt;=0,IF($G$59="",$F$58,$G$59),IF(AND(H51&gt;=$AG$50,H51&lt;$AG$50+$AG$51),IF($G$59="",$F$58,$G$59),$F$51))</f>
        <v>0</v>
      </c>
      <c r="T51" s="10">
        <f>K51</f>
        <v>0</v>
      </c>
      <c r="U51" s="10">
        <f>MIN(K51,S51)</f>
        <v>0</v>
      </c>
      <c r="V51" s="10">
        <f>T51-K51</f>
        <v>0</v>
      </c>
      <c r="W51" s="11" t="e">
        <f>V51*$I$12/(5280*$I$10)</f>
        <v>#DIV/0!</v>
      </c>
      <c r="X51" s="11">
        <f>IF(S51=0,60*V51,60*V51/S51)</f>
        <v>0</v>
      </c>
      <c r="Y51" s="83">
        <f>((V51*X51)*$I$11*$J$16/(60))+((V51*X51)*(1-$I$11)*$J$17/(60))</f>
        <v>0</v>
      </c>
      <c r="Z51" s="10">
        <f>V51-O51</f>
        <v>0</v>
      </c>
      <c r="AA51" s="11" t="e">
        <f>W51-P51</f>
        <v>#DIV/0!</v>
      </c>
      <c r="AB51" s="11" t="e">
        <f>X51-Q51</f>
        <v>#DIV/0!</v>
      </c>
      <c r="AC51" s="11" t="e">
        <f>IF((X51-Q51)=0,IF(OR(AB74&lt;&gt;0,AB52&lt;&gt;0),0,NA()),X51)</f>
        <v>#DIV/0!</v>
      </c>
      <c r="AD51" s="11" t="e">
        <f>Y51-R51</f>
        <v>#DIV/0!</v>
      </c>
      <c r="AE51" s="20"/>
      <c r="AF51" s="4" t="s">
        <v>61</v>
      </c>
      <c r="AG51" s="21">
        <f>'Step 3 - WZ Analysis'!D40</f>
        <v>0</v>
      </c>
    </row>
    <row r="52" spans="1:33" x14ac:dyDescent="0.25">
      <c r="A52" s="272"/>
      <c r="B52" s="122"/>
      <c r="C52" s="2"/>
      <c r="D52" s="125"/>
      <c r="E52" s="2"/>
      <c r="F52" s="2"/>
      <c r="H52" s="88">
        <v>1</v>
      </c>
      <c r="I52" s="78">
        <v>4.1666666666666699E-2</v>
      </c>
      <c r="J52" s="79">
        <v>1</v>
      </c>
      <c r="K52" s="6">
        <f>'Step 2 - Facility Data Inputs'!F24</f>
        <v>0</v>
      </c>
      <c r="L52" s="179">
        <f t="shared" ref="L52:L74" si="19">$F$51</f>
        <v>0</v>
      </c>
      <c r="M52" s="72">
        <f>M51+K52</f>
        <v>0</v>
      </c>
      <c r="N52" s="72">
        <f>IF((K52&lt;M52),IF((L52-K52)&gt;O51,O51+K52+N51,L52+N51),(L52+N51))</f>
        <v>0</v>
      </c>
      <c r="O52" s="72">
        <f>IF((K52&lt;L52),IF((L52-K52)&gt;O51,0,O51-(L52-K52)),(O51+(K52-L52)))</f>
        <v>0</v>
      </c>
      <c r="P52" s="83" t="e">
        <f t="shared" ref="P52:P74" si="20">O52*$I$12/(5280*$I$10)</f>
        <v>#DIV/0!</v>
      </c>
      <c r="Q52" s="83" t="e">
        <f t="shared" ref="Q52:Q74" si="21">60*O52/L52</f>
        <v>#DIV/0!</v>
      </c>
      <c r="R52" s="83" t="e">
        <f t="shared" ref="R52:R74" si="22">((O52*Q52)*$I$11*$J$16/(60))+((O52*Q52)*(1-$I$11)*$J$17/(60))</f>
        <v>#DIV/0!</v>
      </c>
      <c r="S52" s="10">
        <f t="shared" ref="S52:S74" si="23">IF($AG$54-H53&gt;=0,IF($G$59="",$F$58,$G$59),IF(AND(H52&gt;=$AG$50,H52&lt;$AG$50+$AG$51),IF($G$59="",$F$58,$G$59),$F$51))</f>
        <v>0</v>
      </c>
      <c r="T52" s="10">
        <f>T51+K52</f>
        <v>0</v>
      </c>
      <c r="U52" s="10">
        <f>IF((K52&lt;S52),IF((S52-K52)&gt;V51,V51+K52+U51,S52+U51),(S52+U51))</f>
        <v>0</v>
      </c>
      <c r="V52" s="10">
        <f>IF((K52&lt;S52),IF((S52-K52)&gt;V51,0,V51-(S52-K52)),(V51+(K52-S52)))</f>
        <v>0</v>
      </c>
      <c r="W52" s="11" t="e">
        <f>V52*$I$12/(5280*$I$10)</f>
        <v>#DIV/0!</v>
      </c>
      <c r="X52" s="11">
        <f t="shared" ref="X52:X74" si="24">IF(S52=0,60*V52,60*V52/S52)</f>
        <v>0</v>
      </c>
      <c r="Y52" s="83">
        <f t="shared" ref="Y52:Y74" si="25">((V52*X52)*$I$11*$J$16/(60))+((V52*X52)*(1-$I$11)*$J$17/(60))</f>
        <v>0</v>
      </c>
      <c r="Z52" s="10">
        <f t="shared" ref="Z52:Z74" si="26">V52-O52</f>
        <v>0</v>
      </c>
      <c r="AA52" s="11" t="e">
        <f t="shared" ref="AA52:AA74" si="27">W52-P52</f>
        <v>#DIV/0!</v>
      </c>
      <c r="AB52" s="11" t="e">
        <f t="shared" ref="AB52:AB74" si="28">X52-Q52</f>
        <v>#DIV/0!</v>
      </c>
      <c r="AC52" s="11" t="e">
        <f t="shared" ref="AC52:AC73" si="29">IF((X52-Q52)=0,IF(OR(AB51&lt;&gt;0,AB53&lt;&gt;0),0,NA()),X52)</f>
        <v>#DIV/0!</v>
      </c>
      <c r="AD52" s="11" t="e">
        <f t="shared" ref="AD52:AD74" si="30">Y52-R52</f>
        <v>#DIV/0!</v>
      </c>
      <c r="AE52" s="20"/>
      <c r="AF52" s="90"/>
      <c r="AG52" s="74"/>
    </row>
    <row r="53" spans="1:33" ht="13.8" x14ac:dyDescent="0.25">
      <c r="A53" s="272"/>
      <c r="B53" s="122"/>
      <c r="C53" s="165" t="s">
        <v>841</v>
      </c>
      <c r="D53" s="125"/>
      <c r="E53" s="2"/>
      <c r="F53" s="2"/>
      <c r="H53" s="88">
        <v>2</v>
      </c>
      <c r="I53" s="78">
        <v>8.3333333333333301E-2</v>
      </c>
      <c r="J53" s="79">
        <v>2</v>
      </c>
      <c r="K53" s="6">
        <f>'Step 2 - Facility Data Inputs'!F25</f>
        <v>0</v>
      </c>
      <c r="L53" s="179">
        <f t="shared" si="19"/>
        <v>0</v>
      </c>
      <c r="M53" s="72">
        <f t="shared" ref="M53:M74" si="31">M52+K53</f>
        <v>0</v>
      </c>
      <c r="N53" s="72">
        <f>IF((K53&lt;M53),IF((L53-K53)&gt;O52,O52+K53+N52,L53+N52),(L53+N52))</f>
        <v>0</v>
      </c>
      <c r="O53" s="72">
        <f t="shared" ref="O53:O74" si="32">IF((K53&lt;L53),IF((L53-K53)&gt;O52,0,O52-(L53-K53)),(O52+(K53-L53)))</f>
        <v>0</v>
      </c>
      <c r="P53" s="83" t="e">
        <f t="shared" si="20"/>
        <v>#DIV/0!</v>
      </c>
      <c r="Q53" s="83" t="e">
        <f t="shared" si="21"/>
        <v>#DIV/0!</v>
      </c>
      <c r="R53" s="83" t="e">
        <f t="shared" si="22"/>
        <v>#DIV/0!</v>
      </c>
      <c r="S53" s="10">
        <f t="shared" si="23"/>
        <v>0</v>
      </c>
      <c r="T53" s="10">
        <f t="shared" ref="T53:T74" si="33">T52+K53</f>
        <v>0</v>
      </c>
      <c r="U53" s="10">
        <f t="shared" ref="U53:U74" si="34">IF((K53&lt;S53),IF((S53-K53)&gt;V52,V52+K53+U52,S53+U52),(S53+U52))</f>
        <v>0</v>
      </c>
      <c r="V53" s="10">
        <f t="shared" ref="V53:V74" si="35">IF((K53&lt;S53),IF((S53-K53)&gt;V52,0,V52-(S53-K53)),(V52+(K53-S53)))</f>
        <v>0</v>
      </c>
      <c r="W53" s="11" t="e">
        <f t="shared" ref="W53:W74" si="36">V53*$I$12/(5280*$I$10)</f>
        <v>#DIV/0!</v>
      </c>
      <c r="X53" s="11">
        <f t="shared" si="24"/>
        <v>0</v>
      </c>
      <c r="Y53" s="83">
        <f t="shared" si="25"/>
        <v>0</v>
      </c>
      <c r="Z53" s="10">
        <f t="shared" si="26"/>
        <v>0</v>
      </c>
      <c r="AA53" s="11" t="e">
        <f t="shared" si="27"/>
        <v>#DIV/0!</v>
      </c>
      <c r="AB53" s="11" t="e">
        <f t="shared" si="28"/>
        <v>#DIV/0!</v>
      </c>
      <c r="AC53" s="11" t="e">
        <f>IF((X53-Q53)=0,IF(OR(AB52&lt;&gt;0,AB54&lt;&gt;0),0,NA()),X53)</f>
        <v>#DIV/0!</v>
      </c>
      <c r="AD53" s="11" t="e">
        <f>Y53-R53</f>
        <v>#DIV/0!</v>
      </c>
      <c r="AE53" s="20"/>
      <c r="AF53" s="90" t="s">
        <v>18</v>
      </c>
      <c r="AG53" s="74">
        <f>COUNT(H51:H74)</f>
        <v>24</v>
      </c>
    </row>
    <row r="54" spans="1:33" ht="12.75" customHeight="1" x14ac:dyDescent="0.25">
      <c r="A54" s="272"/>
      <c r="B54" s="122"/>
      <c r="C54" s="120" t="s">
        <v>920</v>
      </c>
      <c r="D54" s="262" t="str">
        <f>'Step 3 - WZ Analysis'!D32:F32</f>
        <v>(Example: Pothole Patching - Close One Lane OR Joint Repair - Two Lanes Closed)</v>
      </c>
      <c r="E54" s="262"/>
      <c r="F54" s="262"/>
      <c r="H54" s="88">
        <v>3</v>
      </c>
      <c r="I54" s="78">
        <v>0.125</v>
      </c>
      <c r="J54" s="79">
        <v>3</v>
      </c>
      <c r="K54" s="6">
        <f>'Step 2 - Facility Data Inputs'!F26</f>
        <v>0</v>
      </c>
      <c r="L54" s="179">
        <f t="shared" si="19"/>
        <v>0</v>
      </c>
      <c r="M54" s="72">
        <f t="shared" si="31"/>
        <v>0</v>
      </c>
      <c r="N54" s="72">
        <f t="shared" ref="N54:N74" si="37">IF((K54&lt;M54),IF((L54-K54)&gt;O53,O53+K54+N53,L54+N53),(L54+N53))</f>
        <v>0</v>
      </c>
      <c r="O54" s="72">
        <f t="shared" si="32"/>
        <v>0</v>
      </c>
      <c r="P54" s="83" t="e">
        <f t="shared" si="20"/>
        <v>#DIV/0!</v>
      </c>
      <c r="Q54" s="83" t="e">
        <f t="shared" si="21"/>
        <v>#DIV/0!</v>
      </c>
      <c r="R54" s="83" t="e">
        <f t="shared" si="22"/>
        <v>#DIV/0!</v>
      </c>
      <c r="S54" s="10">
        <f t="shared" si="23"/>
        <v>0</v>
      </c>
      <c r="T54" s="10">
        <f t="shared" si="33"/>
        <v>0</v>
      </c>
      <c r="U54" s="10">
        <f t="shared" si="34"/>
        <v>0</v>
      </c>
      <c r="V54" s="10">
        <f t="shared" si="35"/>
        <v>0</v>
      </c>
      <c r="W54" s="11" t="e">
        <f t="shared" si="36"/>
        <v>#DIV/0!</v>
      </c>
      <c r="X54" s="11">
        <f>IF(S54=0,60*V54,60*V54/S54)</f>
        <v>0</v>
      </c>
      <c r="Y54" s="83">
        <f t="shared" si="25"/>
        <v>0</v>
      </c>
      <c r="Z54" s="10">
        <f t="shared" si="26"/>
        <v>0</v>
      </c>
      <c r="AA54" s="11" t="e">
        <f t="shared" si="27"/>
        <v>#DIV/0!</v>
      </c>
      <c r="AB54" s="11" t="e">
        <f t="shared" si="28"/>
        <v>#DIV/0!</v>
      </c>
      <c r="AC54" s="11" t="e">
        <f t="shared" si="29"/>
        <v>#DIV/0!</v>
      </c>
      <c r="AD54" s="11" t="e">
        <f t="shared" si="30"/>
        <v>#DIV/0!</v>
      </c>
      <c r="AE54" s="20"/>
      <c r="AF54" s="90" t="s">
        <v>19</v>
      </c>
      <c r="AG54" s="180">
        <f>AG50+AG51-AG53</f>
        <v>-24</v>
      </c>
    </row>
    <row r="55" spans="1:33" x14ac:dyDescent="0.25">
      <c r="A55" s="272"/>
      <c r="B55" s="122"/>
      <c r="C55" s="120" t="s">
        <v>913</v>
      </c>
      <c r="D55" s="274" t="str">
        <f>'Step 3 - WZ Analysis'!D33:F33</f>
        <v>No Work Zone (Use for Calibrating Existing Conditions)</v>
      </c>
      <c r="E55" s="274"/>
      <c r="F55" s="274"/>
      <c r="G55">
        <f>VLOOKUP(D55,'Reference Sheet'!$S$2:$T$8,2)</f>
        <v>538</v>
      </c>
      <c r="H55" s="88">
        <v>4</v>
      </c>
      <c r="I55" s="78">
        <v>0.16666666666666699</v>
      </c>
      <c r="J55" s="79">
        <v>4</v>
      </c>
      <c r="K55" s="6">
        <f>'Step 2 - Facility Data Inputs'!F27</f>
        <v>0</v>
      </c>
      <c r="L55" s="179">
        <f t="shared" si="19"/>
        <v>0</v>
      </c>
      <c r="M55" s="72">
        <f t="shared" si="31"/>
        <v>0</v>
      </c>
      <c r="N55" s="72">
        <f t="shared" si="37"/>
        <v>0</v>
      </c>
      <c r="O55" s="72">
        <f t="shared" si="32"/>
        <v>0</v>
      </c>
      <c r="P55" s="83" t="e">
        <f t="shared" si="20"/>
        <v>#DIV/0!</v>
      </c>
      <c r="Q55" s="83" t="e">
        <f t="shared" si="21"/>
        <v>#DIV/0!</v>
      </c>
      <c r="R55" s="83" t="e">
        <f t="shared" si="22"/>
        <v>#DIV/0!</v>
      </c>
      <c r="S55" s="10">
        <f t="shared" si="23"/>
        <v>0</v>
      </c>
      <c r="T55" s="10">
        <f t="shared" si="33"/>
        <v>0</v>
      </c>
      <c r="U55" s="10">
        <f t="shared" si="34"/>
        <v>0</v>
      </c>
      <c r="V55" s="10">
        <f t="shared" si="35"/>
        <v>0</v>
      </c>
      <c r="W55" s="11" t="e">
        <f t="shared" si="36"/>
        <v>#DIV/0!</v>
      </c>
      <c r="X55" s="11">
        <f t="shared" si="24"/>
        <v>0</v>
      </c>
      <c r="Y55" s="83">
        <f t="shared" si="25"/>
        <v>0</v>
      </c>
      <c r="Z55" s="10">
        <f t="shared" si="26"/>
        <v>0</v>
      </c>
      <c r="AA55" s="11" t="e">
        <f t="shared" si="27"/>
        <v>#DIV/0!</v>
      </c>
      <c r="AB55" s="11" t="e">
        <f t="shared" si="28"/>
        <v>#DIV/0!</v>
      </c>
      <c r="AC55" s="11" t="e">
        <f t="shared" si="29"/>
        <v>#DIV/0!</v>
      </c>
      <c r="AD55" s="11" t="e">
        <f t="shared" si="30"/>
        <v>#DIV/0!</v>
      </c>
      <c r="AE55" s="20"/>
    </row>
    <row r="56" spans="1:33" x14ac:dyDescent="0.25">
      <c r="A56" s="272"/>
      <c r="B56" s="122"/>
      <c r="C56" s="120" t="s">
        <v>914</v>
      </c>
      <c r="D56" s="275" t="str">
        <f>'Step 3 - WZ Analysis'!D34:F34</f>
        <v>&gt; 11.5</v>
      </c>
      <c r="E56" s="275"/>
      <c r="F56" s="275"/>
      <c r="G56">
        <f>VLOOKUP(D56,'Reference Sheet'!$V$2:$W$4,2)</f>
        <v>1</v>
      </c>
      <c r="H56" s="88">
        <v>5</v>
      </c>
      <c r="I56" s="78">
        <v>0.20833333333333301</v>
      </c>
      <c r="J56" s="79">
        <v>5</v>
      </c>
      <c r="K56" s="6">
        <f>'Step 2 - Facility Data Inputs'!F28</f>
        <v>0</v>
      </c>
      <c r="L56" s="179">
        <f t="shared" si="19"/>
        <v>0</v>
      </c>
      <c r="M56" s="72">
        <f t="shared" si="31"/>
        <v>0</v>
      </c>
      <c r="N56" s="72">
        <f t="shared" si="37"/>
        <v>0</v>
      </c>
      <c r="O56" s="72">
        <f t="shared" si="32"/>
        <v>0</v>
      </c>
      <c r="P56" s="83" t="e">
        <f t="shared" si="20"/>
        <v>#DIV/0!</v>
      </c>
      <c r="Q56" s="83" t="e">
        <f t="shared" si="21"/>
        <v>#DIV/0!</v>
      </c>
      <c r="R56" s="83" t="e">
        <f t="shared" si="22"/>
        <v>#DIV/0!</v>
      </c>
      <c r="S56" s="10">
        <f t="shared" si="23"/>
        <v>0</v>
      </c>
      <c r="T56" s="10">
        <f t="shared" si="33"/>
        <v>0</v>
      </c>
      <c r="U56" s="10">
        <f t="shared" si="34"/>
        <v>0</v>
      </c>
      <c r="V56" s="10">
        <f t="shared" si="35"/>
        <v>0</v>
      </c>
      <c r="W56" s="11" t="e">
        <f t="shared" si="36"/>
        <v>#DIV/0!</v>
      </c>
      <c r="X56" s="11">
        <f t="shared" si="24"/>
        <v>0</v>
      </c>
      <c r="Y56" s="83">
        <f t="shared" si="25"/>
        <v>0</v>
      </c>
      <c r="Z56" s="10">
        <f t="shared" si="26"/>
        <v>0</v>
      </c>
      <c r="AA56" s="11" t="e">
        <f t="shared" si="27"/>
        <v>#DIV/0!</v>
      </c>
      <c r="AB56" s="11" t="e">
        <f t="shared" si="28"/>
        <v>#DIV/0!</v>
      </c>
      <c r="AC56" s="11" t="e">
        <f t="shared" si="29"/>
        <v>#DIV/0!</v>
      </c>
      <c r="AD56" s="11" t="e">
        <f t="shared" si="30"/>
        <v>#DIV/0!</v>
      </c>
      <c r="AE56" s="20"/>
    </row>
    <row r="57" spans="1:33" x14ac:dyDescent="0.25">
      <c r="A57" s="272"/>
      <c r="B57" s="122"/>
      <c r="C57" s="120" t="s">
        <v>915</v>
      </c>
      <c r="D57" s="275">
        <f>'Step 3 - WZ Analysis'!D35:F35</f>
        <v>0</v>
      </c>
      <c r="E57" s="275"/>
      <c r="F57" s="275"/>
      <c r="H57" s="88">
        <v>6</v>
      </c>
      <c r="I57" s="78">
        <v>0.25</v>
      </c>
      <c r="J57" s="79">
        <v>6</v>
      </c>
      <c r="K57" s="6">
        <f>'Step 2 - Facility Data Inputs'!F29</f>
        <v>0</v>
      </c>
      <c r="L57" s="179">
        <f t="shared" si="19"/>
        <v>0</v>
      </c>
      <c r="M57" s="72">
        <f t="shared" si="31"/>
        <v>0</v>
      </c>
      <c r="N57" s="72">
        <f t="shared" si="37"/>
        <v>0</v>
      </c>
      <c r="O57" s="72">
        <f t="shared" si="32"/>
        <v>0</v>
      </c>
      <c r="P57" s="83" t="e">
        <f t="shared" si="20"/>
        <v>#DIV/0!</v>
      </c>
      <c r="Q57" s="83" t="e">
        <f t="shared" si="21"/>
        <v>#DIV/0!</v>
      </c>
      <c r="R57" s="83" t="e">
        <f t="shared" si="22"/>
        <v>#DIV/0!</v>
      </c>
      <c r="S57" s="10">
        <f t="shared" si="23"/>
        <v>0</v>
      </c>
      <c r="T57" s="10">
        <f t="shared" si="33"/>
        <v>0</v>
      </c>
      <c r="U57" s="10">
        <f t="shared" si="34"/>
        <v>0</v>
      </c>
      <c r="V57" s="10">
        <f t="shared" si="35"/>
        <v>0</v>
      </c>
      <c r="W57" s="11" t="e">
        <f t="shared" si="36"/>
        <v>#DIV/0!</v>
      </c>
      <c r="X57" s="11">
        <f t="shared" si="24"/>
        <v>0</v>
      </c>
      <c r="Y57" s="83">
        <f t="shared" si="25"/>
        <v>0</v>
      </c>
      <c r="Z57" s="10">
        <f>V57-O57</f>
        <v>0</v>
      </c>
      <c r="AA57" s="11" t="e">
        <f t="shared" si="27"/>
        <v>#DIV/0!</v>
      </c>
      <c r="AB57" s="11" t="e">
        <f t="shared" si="28"/>
        <v>#DIV/0!</v>
      </c>
      <c r="AC57" s="11" t="e">
        <f t="shared" si="29"/>
        <v>#DIV/0!</v>
      </c>
      <c r="AD57" s="11" t="e">
        <f t="shared" si="30"/>
        <v>#DIV/0!</v>
      </c>
      <c r="AE57" s="20"/>
      <c r="AF57" s="4" t="s">
        <v>57</v>
      </c>
      <c r="AG57" s="3">
        <f>MAX(X51:X74)</f>
        <v>0</v>
      </c>
    </row>
    <row r="58" spans="1:33" ht="66" x14ac:dyDescent="0.25">
      <c r="A58" s="272"/>
      <c r="B58" s="122"/>
      <c r="C58" s="121" t="s">
        <v>917</v>
      </c>
      <c r="D58" s="178">
        <f>IF(G55=538,D51,IF(VLOOKUP((G55+G56),'HCM 2010 Program'!$C$3:$H$20,6)&gt;(D51),D51,VLOOKUP((G55+G56),'HCM 2010 Program'!$C$3:$H$20,6)))</f>
        <v>1900</v>
      </c>
      <c r="E58" s="55" t="s">
        <v>922</v>
      </c>
      <c r="F58" s="168">
        <f>MIN((D58*D57),F51)</f>
        <v>0</v>
      </c>
      <c r="G58" s="55" t="s">
        <v>925</v>
      </c>
      <c r="H58" s="88">
        <v>7</v>
      </c>
      <c r="I58" s="78">
        <v>0.29166666666666702</v>
      </c>
      <c r="J58" s="79">
        <v>7</v>
      </c>
      <c r="K58" s="6">
        <f>'Step 2 - Facility Data Inputs'!F30</f>
        <v>0</v>
      </c>
      <c r="L58" s="179">
        <f t="shared" si="19"/>
        <v>0</v>
      </c>
      <c r="M58" s="72">
        <f t="shared" si="31"/>
        <v>0</v>
      </c>
      <c r="N58" s="72">
        <f t="shared" si="37"/>
        <v>0</v>
      </c>
      <c r="O58" s="72">
        <f t="shared" si="32"/>
        <v>0</v>
      </c>
      <c r="P58" s="83" t="e">
        <f t="shared" si="20"/>
        <v>#DIV/0!</v>
      </c>
      <c r="Q58" s="83" t="e">
        <f t="shared" si="21"/>
        <v>#DIV/0!</v>
      </c>
      <c r="R58" s="83" t="e">
        <f t="shared" si="22"/>
        <v>#DIV/0!</v>
      </c>
      <c r="S58" s="10">
        <f t="shared" si="23"/>
        <v>0</v>
      </c>
      <c r="T58" s="10">
        <f t="shared" si="33"/>
        <v>0</v>
      </c>
      <c r="U58" s="10">
        <f t="shared" si="34"/>
        <v>0</v>
      </c>
      <c r="V58" s="10">
        <f t="shared" si="35"/>
        <v>0</v>
      </c>
      <c r="W58" s="11" t="e">
        <f t="shared" si="36"/>
        <v>#DIV/0!</v>
      </c>
      <c r="X58" s="11">
        <f t="shared" si="24"/>
        <v>0</v>
      </c>
      <c r="Y58" s="83">
        <f t="shared" si="25"/>
        <v>0</v>
      </c>
      <c r="Z58" s="10">
        <f t="shared" si="26"/>
        <v>0</v>
      </c>
      <c r="AA58" s="11" t="e">
        <f t="shared" si="27"/>
        <v>#DIV/0!</v>
      </c>
      <c r="AB58" s="11" t="e">
        <f t="shared" si="28"/>
        <v>#DIV/0!</v>
      </c>
      <c r="AC58" s="11" t="e">
        <f t="shared" si="29"/>
        <v>#DIV/0!</v>
      </c>
      <c r="AD58" s="11" t="e">
        <f t="shared" si="30"/>
        <v>#DIV/0!</v>
      </c>
      <c r="AE58" s="20"/>
    </row>
    <row r="59" spans="1:33" ht="79.2" x14ac:dyDescent="0.25">
      <c r="A59" s="272"/>
      <c r="B59" s="122"/>
      <c r="C59" s="121" t="s">
        <v>916</v>
      </c>
      <c r="D59" s="124"/>
      <c r="E59" s="195">
        <f>'Step 3 - WZ Analysis'!E37</f>
        <v>0</v>
      </c>
      <c r="F59" s="123"/>
      <c r="G59" s="74" t="str">
        <f>IF('Step 3 - WZ Analysis'!E37="","",'Step 3 - WZ Analysis'!E37)</f>
        <v/>
      </c>
      <c r="H59" s="88">
        <v>8</v>
      </c>
      <c r="I59" s="78">
        <v>0.33333333333333298</v>
      </c>
      <c r="J59" s="79">
        <v>8</v>
      </c>
      <c r="K59" s="6">
        <f>'Step 2 - Facility Data Inputs'!F31</f>
        <v>0</v>
      </c>
      <c r="L59" s="179">
        <f t="shared" si="19"/>
        <v>0</v>
      </c>
      <c r="M59" s="72">
        <f t="shared" si="31"/>
        <v>0</v>
      </c>
      <c r="N59" s="72">
        <f t="shared" si="37"/>
        <v>0</v>
      </c>
      <c r="O59" s="72">
        <f t="shared" si="32"/>
        <v>0</v>
      </c>
      <c r="P59" s="83" t="e">
        <f t="shared" si="20"/>
        <v>#DIV/0!</v>
      </c>
      <c r="Q59" s="83" t="e">
        <f t="shared" si="21"/>
        <v>#DIV/0!</v>
      </c>
      <c r="R59" s="83" t="e">
        <f t="shared" si="22"/>
        <v>#DIV/0!</v>
      </c>
      <c r="S59" s="10">
        <f t="shared" si="23"/>
        <v>0</v>
      </c>
      <c r="T59" s="10">
        <f t="shared" si="33"/>
        <v>0</v>
      </c>
      <c r="U59" s="10">
        <f t="shared" si="34"/>
        <v>0</v>
      </c>
      <c r="V59" s="10">
        <f t="shared" si="35"/>
        <v>0</v>
      </c>
      <c r="W59" s="11" t="e">
        <f t="shared" si="36"/>
        <v>#DIV/0!</v>
      </c>
      <c r="X59" s="11">
        <f t="shared" si="24"/>
        <v>0</v>
      </c>
      <c r="Y59" s="83">
        <f t="shared" si="25"/>
        <v>0</v>
      </c>
      <c r="Z59" s="10">
        <f t="shared" si="26"/>
        <v>0</v>
      </c>
      <c r="AA59" s="11" t="e">
        <f t="shared" si="27"/>
        <v>#DIV/0!</v>
      </c>
      <c r="AB59" s="11" t="e">
        <f t="shared" si="28"/>
        <v>#DIV/0!</v>
      </c>
      <c r="AC59" s="11" t="e">
        <f t="shared" si="29"/>
        <v>#DIV/0!</v>
      </c>
      <c r="AD59" s="11" t="e">
        <f t="shared" si="30"/>
        <v>#DIV/0!</v>
      </c>
      <c r="AE59" s="20"/>
      <c r="AF59" s="4" t="s">
        <v>58</v>
      </c>
      <c r="AG59" s="3" t="e">
        <f>(SUM(V51:V74)/T74)*60</f>
        <v>#DIV/0!</v>
      </c>
    </row>
    <row r="60" spans="1:33" x14ac:dyDescent="0.25">
      <c r="A60" s="272"/>
      <c r="B60" s="122"/>
      <c r="C60" s="114" t="s">
        <v>900</v>
      </c>
      <c r="D60" s="276">
        <f>'Step 3 - WZ Analysis'!D38:F38</f>
        <v>0</v>
      </c>
      <c r="E60" s="276"/>
      <c r="F60" s="276"/>
      <c r="G60" s="173">
        <f>VLOOKUP('Step 3 - WZ Analysis'!D38,'WZ Analysis (Worksheet)'!$I$22:$J$45,2)</f>
        <v>0</v>
      </c>
      <c r="H60" s="88">
        <v>9</v>
      </c>
      <c r="I60" s="78">
        <v>0.375</v>
      </c>
      <c r="J60" s="79">
        <v>9</v>
      </c>
      <c r="K60" s="6">
        <f>'Step 2 - Facility Data Inputs'!F32</f>
        <v>0</v>
      </c>
      <c r="L60" s="179">
        <f t="shared" si="19"/>
        <v>0</v>
      </c>
      <c r="M60" s="72">
        <f t="shared" si="31"/>
        <v>0</v>
      </c>
      <c r="N60" s="72">
        <f t="shared" si="37"/>
        <v>0</v>
      </c>
      <c r="O60" s="72">
        <f t="shared" si="32"/>
        <v>0</v>
      </c>
      <c r="P60" s="83" t="e">
        <f t="shared" si="20"/>
        <v>#DIV/0!</v>
      </c>
      <c r="Q60" s="83" t="e">
        <f t="shared" si="21"/>
        <v>#DIV/0!</v>
      </c>
      <c r="R60" s="83" t="e">
        <f t="shared" si="22"/>
        <v>#DIV/0!</v>
      </c>
      <c r="S60" s="10">
        <f t="shared" si="23"/>
        <v>0</v>
      </c>
      <c r="T60" s="10">
        <f t="shared" si="33"/>
        <v>0</v>
      </c>
      <c r="U60" s="10">
        <f t="shared" si="34"/>
        <v>0</v>
      </c>
      <c r="V60" s="10">
        <f t="shared" si="35"/>
        <v>0</v>
      </c>
      <c r="W60" s="11" t="e">
        <f t="shared" si="36"/>
        <v>#DIV/0!</v>
      </c>
      <c r="X60" s="11">
        <f t="shared" si="24"/>
        <v>0</v>
      </c>
      <c r="Y60" s="83">
        <f t="shared" si="25"/>
        <v>0</v>
      </c>
      <c r="Z60" s="10">
        <f t="shared" si="26"/>
        <v>0</v>
      </c>
      <c r="AA60" s="11" t="e">
        <f t="shared" si="27"/>
        <v>#DIV/0!</v>
      </c>
      <c r="AB60" s="11" t="e">
        <f t="shared" si="28"/>
        <v>#DIV/0!</v>
      </c>
      <c r="AC60" s="11" t="e">
        <f t="shared" si="29"/>
        <v>#DIV/0!</v>
      </c>
      <c r="AD60" s="11" t="e">
        <f t="shared" si="30"/>
        <v>#DIV/0!</v>
      </c>
      <c r="AE60" s="20"/>
    </row>
    <row r="61" spans="1:33" x14ac:dyDescent="0.25">
      <c r="A61" s="272"/>
      <c r="B61" s="122"/>
      <c r="C61" s="114" t="s">
        <v>901</v>
      </c>
      <c r="D61" s="276">
        <f>'Step 3 - WZ Analysis'!D39:F39</f>
        <v>0</v>
      </c>
      <c r="E61" s="276"/>
      <c r="F61" s="276"/>
      <c r="G61" s="173">
        <f>VLOOKUP('Step 3 - WZ Analysis'!D39,'WZ Analysis (Worksheet)'!$I$22:$J$45,2)</f>
        <v>0</v>
      </c>
      <c r="H61" s="88">
        <v>10</v>
      </c>
      <c r="I61" s="78">
        <v>0.41666666666666702</v>
      </c>
      <c r="J61" s="79">
        <v>10</v>
      </c>
      <c r="K61" s="6">
        <f>'Step 2 - Facility Data Inputs'!F33</f>
        <v>0</v>
      </c>
      <c r="L61" s="179">
        <f t="shared" si="19"/>
        <v>0</v>
      </c>
      <c r="M61" s="72">
        <f t="shared" si="31"/>
        <v>0</v>
      </c>
      <c r="N61" s="72">
        <f t="shared" si="37"/>
        <v>0</v>
      </c>
      <c r="O61" s="72">
        <f t="shared" si="32"/>
        <v>0</v>
      </c>
      <c r="P61" s="83" t="e">
        <f t="shared" si="20"/>
        <v>#DIV/0!</v>
      </c>
      <c r="Q61" s="83" t="e">
        <f t="shared" si="21"/>
        <v>#DIV/0!</v>
      </c>
      <c r="R61" s="83" t="e">
        <f t="shared" si="22"/>
        <v>#DIV/0!</v>
      </c>
      <c r="S61" s="10">
        <f t="shared" si="23"/>
        <v>0</v>
      </c>
      <c r="T61" s="10">
        <f t="shared" si="33"/>
        <v>0</v>
      </c>
      <c r="U61" s="10">
        <f t="shared" si="34"/>
        <v>0</v>
      </c>
      <c r="V61" s="10">
        <f t="shared" si="35"/>
        <v>0</v>
      </c>
      <c r="W61" s="11" t="e">
        <f t="shared" si="36"/>
        <v>#DIV/0!</v>
      </c>
      <c r="X61" s="11">
        <f t="shared" si="24"/>
        <v>0</v>
      </c>
      <c r="Y61" s="83">
        <f t="shared" si="25"/>
        <v>0</v>
      </c>
      <c r="Z61" s="10">
        <f t="shared" si="26"/>
        <v>0</v>
      </c>
      <c r="AA61" s="11" t="e">
        <f t="shared" si="27"/>
        <v>#DIV/0!</v>
      </c>
      <c r="AB61" s="11" t="e">
        <f t="shared" si="28"/>
        <v>#DIV/0!</v>
      </c>
      <c r="AC61" s="11" t="e">
        <f t="shared" si="29"/>
        <v>#DIV/0!</v>
      </c>
      <c r="AD61" s="11" t="e">
        <f t="shared" si="30"/>
        <v>#DIV/0!</v>
      </c>
      <c r="AE61" s="20"/>
      <c r="AF61" s="4" t="s">
        <v>17</v>
      </c>
      <c r="AG61" s="18">
        <f>Z75</f>
        <v>0</v>
      </c>
    </row>
    <row r="62" spans="1:33" x14ac:dyDescent="0.25">
      <c r="A62" s="272"/>
      <c r="B62" s="122"/>
      <c r="C62" s="114" t="s">
        <v>902</v>
      </c>
      <c r="D62" s="261">
        <f>'Step 3 - WZ Analysis'!D40:F40</f>
        <v>0</v>
      </c>
      <c r="E62" s="261"/>
      <c r="F62" s="261"/>
      <c r="H62" s="88">
        <v>11</v>
      </c>
      <c r="I62" s="78">
        <v>0.45833333333333298</v>
      </c>
      <c r="J62" s="79">
        <v>11</v>
      </c>
      <c r="K62" s="6">
        <f>'Step 2 - Facility Data Inputs'!F34</f>
        <v>0</v>
      </c>
      <c r="L62" s="179">
        <f t="shared" si="19"/>
        <v>0</v>
      </c>
      <c r="M62" s="72">
        <f t="shared" si="31"/>
        <v>0</v>
      </c>
      <c r="N62" s="72">
        <f t="shared" si="37"/>
        <v>0</v>
      </c>
      <c r="O62" s="72">
        <f t="shared" si="32"/>
        <v>0</v>
      </c>
      <c r="P62" s="83" t="e">
        <f t="shared" si="20"/>
        <v>#DIV/0!</v>
      </c>
      <c r="Q62" s="83" t="e">
        <f t="shared" si="21"/>
        <v>#DIV/0!</v>
      </c>
      <c r="R62" s="83" t="e">
        <f t="shared" si="22"/>
        <v>#DIV/0!</v>
      </c>
      <c r="S62" s="10">
        <f t="shared" si="23"/>
        <v>0</v>
      </c>
      <c r="T62" s="10">
        <f t="shared" si="33"/>
        <v>0</v>
      </c>
      <c r="U62" s="10">
        <f t="shared" si="34"/>
        <v>0</v>
      </c>
      <c r="V62" s="10">
        <f t="shared" si="35"/>
        <v>0</v>
      </c>
      <c r="W62" s="11" t="e">
        <f t="shared" si="36"/>
        <v>#DIV/0!</v>
      </c>
      <c r="X62" s="11">
        <f t="shared" si="24"/>
        <v>0</v>
      </c>
      <c r="Y62" s="83">
        <f t="shared" si="25"/>
        <v>0</v>
      </c>
      <c r="Z62" s="10">
        <f t="shared" si="26"/>
        <v>0</v>
      </c>
      <c r="AA62" s="11" t="e">
        <f t="shared" si="27"/>
        <v>#DIV/0!</v>
      </c>
      <c r="AB62" s="11" t="e">
        <f t="shared" si="28"/>
        <v>#DIV/0!</v>
      </c>
      <c r="AC62" s="11" t="e">
        <f t="shared" si="29"/>
        <v>#DIV/0!</v>
      </c>
      <c r="AD62" s="11" t="e">
        <f t="shared" si="30"/>
        <v>#DIV/0!</v>
      </c>
      <c r="AE62" s="20"/>
    </row>
    <row r="63" spans="1:33" x14ac:dyDescent="0.25">
      <c r="A63" s="272"/>
      <c r="B63" s="122"/>
      <c r="C63" s="117"/>
      <c r="D63" s="2"/>
      <c r="E63" s="2"/>
      <c r="F63" s="38"/>
      <c r="H63" s="88">
        <v>12</v>
      </c>
      <c r="I63" s="78">
        <v>0.5</v>
      </c>
      <c r="J63" s="79">
        <v>12</v>
      </c>
      <c r="K63" s="6">
        <f>'Step 2 - Facility Data Inputs'!F35</f>
        <v>0</v>
      </c>
      <c r="L63" s="179">
        <f t="shared" si="19"/>
        <v>0</v>
      </c>
      <c r="M63" s="72">
        <f t="shared" si="31"/>
        <v>0</v>
      </c>
      <c r="N63" s="72">
        <f t="shared" si="37"/>
        <v>0</v>
      </c>
      <c r="O63" s="72">
        <f t="shared" si="32"/>
        <v>0</v>
      </c>
      <c r="P63" s="83" t="e">
        <f t="shared" si="20"/>
        <v>#DIV/0!</v>
      </c>
      <c r="Q63" s="83" t="e">
        <f t="shared" si="21"/>
        <v>#DIV/0!</v>
      </c>
      <c r="R63" s="83" t="e">
        <f t="shared" si="22"/>
        <v>#DIV/0!</v>
      </c>
      <c r="S63" s="10">
        <f t="shared" si="23"/>
        <v>0</v>
      </c>
      <c r="T63" s="10">
        <f t="shared" si="33"/>
        <v>0</v>
      </c>
      <c r="U63" s="10">
        <f t="shared" si="34"/>
        <v>0</v>
      </c>
      <c r="V63" s="10">
        <f t="shared" si="35"/>
        <v>0</v>
      </c>
      <c r="W63" s="11" t="e">
        <f t="shared" si="36"/>
        <v>#DIV/0!</v>
      </c>
      <c r="X63" s="11">
        <f t="shared" si="24"/>
        <v>0</v>
      </c>
      <c r="Y63" s="83">
        <f t="shared" si="25"/>
        <v>0</v>
      </c>
      <c r="Z63" s="10">
        <f t="shared" si="26"/>
        <v>0</v>
      </c>
      <c r="AA63" s="11" t="e">
        <f t="shared" si="27"/>
        <v>#DIV/0!</v>
      </c>
      <c r="AB63" s="11" t="e">
        <f t="shared" si="28"/>
        <v>#DIV/0!</v>
      </c>
      <c r="AC63" s="11" t="e">
        <f t="shared" si="29"/>
        <v>#DIV/0!</v>
      </c>
      <c r="AD63" s="11" t="e">
        <f t="shared" si="30"/>
        <v>#DIV/0!</v>
      </c>
      <c r="AE63" s="20"/>
      <c r="AF63" s="4" t="s">
        <v>59</v>
      </c>
      <c r="AG63" s="3" t="e">
        <f>W75</f>
        <v>#DIV/0!</v>
      </c>
    </row>
    <row r="64" spans="1:33" ht="13.8" x14ac:dyDescent="0.25">
      <c r="A64" s="272"/>
      <c r="B64" s="122"/>
      <c r="C64" s="164" t="s">
        <v>896</v>
      </c>
      <c r="D64" s="2"/>
      <c r="E64" s="2"/>
      <c r="F64" s="38"/>
      <c r="H64" s="88">
        <v>13</v>
      </c>
      <c r="I64" s="78">
        <v>0.54166666666666696</v>
      </c>
      <c r="J64" s="79">
        <v>13</v>
      </c>
      <c r="K64" s="6">
        <f>'Step 2 - Facility Data Inputs'!F36</f>
        <v>0</v>
      </c>
      <c r="L64" s="179">
        <f t="shared" si="19"/>
        <v>0</v>
      </c>
      <c r="M64" s="72">
        <f t="shared" si="31"/>
        <v>0</v>
      </c>
      <c r="N64" s="72">
        <f t="shared" si="37"/>
        <v>0</v>
      </c>
      <c r="O64" s="72">
        <f t="shared" si="32"/>
        <v>0</v>
      </c>
      <c r="P64" s="83" t="e">
        <f t="shared" si="20"/>
        <v>#DIV/0!</v>
      </c>
      <c r="Q64" s="83" t="e">
        <f t="shared" si="21"/>
        <v>#DIV/0!</v>
      </c>
      <c r="R64" s="83" t="e">
        <f t="shared" si="22"/>
        <v>#DIV/0!</v>
      </c>
      <c r="S64" s="10">
        <f t="shared" si="23"/>
        <v>0</v>
      </c>
      <c r="T64" s="10">
        <f t="shared" si="33"/>
        <v>0</v>
      </c>
      <c r="U64" s="10">
        <f t="shared" si="34"/>
        <v>0</v>
      </c>
      <c r="V64" s="10">
        <f t="shared" si="35"/>
        <v>0</v>
      </c>
      <c r="W64" s="11" t="e">
        <f t="shared" si="36"/>
        <v>#DIV/0!</v>
      </c>
      <c r="X64" s="11">
        <f t="shared" si="24"/>
        <v>0</v>
      </c>
      <c r="Y64" s="83">
        <f t="shared" si="25"/>
        <v>0</v>
      </c>
      <c r="Z64" s="10">
        <f t="shared" si="26"/>
        <v>0</v>
      </c>
      <c r="AA64" s="11" t="e">
        <f t="shared" si="27"/>
        <v>#DIV/0!</v>
      </c>
      <c r="AB64" s="11" t="e">
        <f t="shared" si="28"/>
        <v>#DIV/0!</v>
      </c>
      <c r="AC64" s="11" t="e">
        <f t="shared" si="29"/>
        <v>#DIV/0!</v>
      </c>
      <c r="AD64" s="11" t="e">
        <f t="shared" si="30"/>
        <v>#DIV/0!</v>
      </c>
      <c r="AE64" s="20"/>
    </row>
    <row r="65" spans="1:33" x14ac:dyDescent="0.25">
      <c r="A65" s="272"/>
      <c r="B65" s="122"/>
      <c r="C65" s="114" t="s">
        <v>899</v>
      </c>
      <c r="D65" s="118" t="s">
        <v>895</v>
      </c>
      <c r="E65" s="118" t="s">
        <v>898</v>
      </c>
      <c r="F65" s="119" t="s">
        <v>897</v>
      </c>
      <c r="H65" s="88">
        <v>14</v>
      </c>
      <c r="I65" s="78">
        <v>0.58333333333333304</v>
      </c>
      <c r="J65" s="79">
        <v>14</v>
      </c>
      <c r="K65" s="6">
        <f>'Step 2 - Facility Data Inputs'!F37</f>
        <v>0</v>
      </c>
      <c r="L65" s="179">
        <f t="shared" si="19"/>
        <v>0</v>
      </c>
      <c r="M65" s="72">
        <f t="shared" si="31"/>
        <v>0</v>
      </c>
      <c r="N65" s="72">
        <f t="shared" si="37"/>
        <v>0</v>
      </c>
      <c r="O65" s="72">
        <f t="shared" si="32"/>
        <v>0</v>
      </c>
      <c r="P65" s="83" t="e">
        <f t="shared" si="20"/>
        <v>#DIV/0!</v>
      </c>
      <c r="Q65" s="83" t="e">
        <f t="shared" si="21"/>
        <v>#DIV/0!</v>
      </c>
      <c r="R65" s="83" t="e">
        <f t="shared" si="22"/>
        <v>#DIV/0!</v>
      </c>
      <c r="S65" s="10">
        <f t="shared" si="23"/>
        <v>0</v>
      </c>
      <c r="T65" s="10">
        <f t="shared" si="33"/>
        <v>0</v>
      </c>
      <c r="U65" s="10">
        <f t="shared" si="34"/>
        <v>0</v>
      </c>
      <c r="V65" s="10">
        <f t="shared" si="35"/>
        <v>0</v>
      </c>
      <c r="W65" s="11" t="e">
        <f t="shared" si="36"/>
        <v>#DIV/0!</v>
      </c>
      <c r="X65" s="11">
        <f t="shared" si="24"/>
        <v>0</v>
      </c>
      <c r="Y65" s="83">
        <f t="shared" si="25"/>
        <v>0</v>
      </c>
      <c r="Z65" s="10">
        <f t="shared" si="26"/>
        <v>0</v>
      </c>
      <c r="AA65" s="11" t="e">
        <f t="shared" si="27"/>
        <v>#DIV/0!</v>
      </c>
      <c r="AB65" s="11" t="e">
        <f t="shared" si="28"/>
        <v>#DIV/0!</v>
      </c>
      <c r="AC65" s="11" t="e">
        <f t="shared" si="29"/>
        <v>#DIV/0!</v>
      </c>
      <c r="AD65" s="11" t="e">
        <f t="shared" si="30"/>
        <v>#DIV/0!</v>
      </c>
      <c r="AE65" s="20"/>
    </row>
    <row r="66" spans="1:33" x14ac:dyDescent="0.25">
      <c r="A66" s="272"/>
      <c r="B66" s="122"/>
      <c r="C66" s="114" t="s">
        <v>903</v>
      </c>
      <c r="D66" s="112" t="e">
        <f>'WZ Analysis (Worksheet)'!P91</f>
        <v>#DIV/0!</v>
      </c>
      <c r="E66" s="112" t="e">
        <f>'WZ Analysis (Worksheet)'!AA91</f>
        <v>#DIV/0!</v>
      </c>
      <c r="F66" s="112" t="e">
        <f>'WZ Analysis (Worksheet)'!W91</f>
        <v>#DIV/0!</v>
      </c>
      <c r="H66" s="88">
        <v>15</v>
      </c>
      <c r="I66" s="78">
        <v>0.625</v>
      </c>
      <c r="J66" s="79">
        <v>15</v>
      </c>
      <c r="K66" s="6">
        <f>'Step 2 - Facility Data Inputs'!F38</f>
        <v>0</v>
      </c>
      <c r="L66" s="179">
        <f t="shared" si="19"/>
        <v>0</v>
      </c>
      <c r="M66" s="72">
        <f t="shared" si="31"/>
        <v>0</v>
      </c>
      <c r="N66" s="72">
        <f t="shared" si="37"/>
        <v>0</v>
      </c>
      <c r="O66" s="72">
        <f t="shared" si="32"/>
        <v>0</v>
      </c>
      <c r="P66" s="83" t="e">
        <f t="shared" si="20"/>
        <v>#DIV/0!</v>
      </c>
      <c r="Q66" s="83" t="e">
        <f t="shared" si="21"/>
        <v>#DIV/0!</v>
      </c>
      <c r="R66" s="83" t="e">
        <f t="shared" si="22"/>
        <v>#DIV/0!</v>
      </c>
      <c r="S66" s="10">
        <f t="shared" si="23"/>
        <v>0</v>
      </c>
      <c r="T66" s="10">
        <f t="shared" si="33"/>
        <v>0</v>
      </c>
      <c r="U66" s="10">
        <f t="shared" si="34"/>
        <v>0</v>
      </c>
      <c r="V66" s="10">
        <f t="shared" si="35"/>
        <v>0</v>
      </c>
      <c r="W66" s="11" t="e">
        <f t="shared" si="36"/>
        <v>#DIV/0!</v>
      </c>
      <c r="X66" s="11">
        <f t="shared" si="24"/>
        <v>0</v>
      </c>
      <c r="Y66" s="83">
        <f t="shared" si="25"/>
        <v>0</v>
      </c>
      <c r="Z66" s="10">
        <f t="shared" si="26"/>
        <v>0</v>
      </c>
      <c r="AA66" s="11" t="e">
        <f t="shared" si="27"/>
        <v>#DIV/0!</v>
      </c>
      <c r="AB66" s="11" t="e">
        <f t="shared" si="28"/>
        <v>#DIV/0!</v>
      </c>
      <c r="AC66" s="11" t="e">
        <f t="shared" si="29"/>
        <v>#DIV/0!</v>
      </c>
      <c r="AD66" s="11" t="e">
        <f t="shared" si="30"/>
        <v>#DIV/0!</v>
      </c>
      <c r="AE66" s="20"/>
    </row>
    <row r="67" spans="1:33" x14ac:dyDescent="0.25">
      <c r="A67" s="272"/>
      <c r="B67" s="122"/>
      <c r="C67" s="114" t="s">
        <v>904</v>
      </c>
      <c r="D67" s="113" t="e">
        <f>'WZ Analysis (Worksheet)'!Q91</f>
        <v>#DIV/0!</v>
      </c>
      <c r="E67" s="113" t="e">
        <f>'WZ Analysis (Worksheet)'!AB91</f>
        <v>#DIV/0!</v>
      </c>
      <c r="F67" s="113">
        <f>'WZ Analysis (Worksheet)'!X91</f>
        <v>0</v>
      </c>
      <c r="H67" s="88">
        <v>16</v>
      </c>
      <c r="I67" s="78">
        <v>0.66666666666666696</v>
      </c>
      <c r="J67" s="79">
        <v>16</v>
      </c>
      <c r="K67" s="6">
        <f>'Step 2 - Facility Data Inputs'!F39</f>
        <v>0</v>
      </c>
      <c r="L67" s="179">
        <f t="shared" si="19"/>
        <v>0</v>
      </c>
      <c r="M67" s="72">
        <f t="shared" si="31"/>
        <v>0</v>
      </c>
      <c r="N67" s="72">
        <f t="shared" si="37"/>
        <v>0</v>
      </c>
      <c r="O67" s="72">
        <f t="shared" si="32"/>
        <v>0</v>
      </c>
      <c r="P67" s="83" t="e">
        <f t="shared" si="20"/>
        <v>#DIV/0!</v>
      </c>
      <c r="Q67" s="83" t="e">
        <f t="shared" si="21"/>
        <v>#DIV/0!</v>
      </c>
      <c r="R67" s="83" t="e">
        <f t="shared" si="22"/>
        <v>#DIV/0!</v>
      </c>
      <c r="S67" s="10">
        <f t="shared" si="23"/>
        <v>0</v>
      </c>
      <c r="T67" s="10">
        <f t="shared" si="33"/>
        <v>0</v>
      </c>
      <c r="U67" s="10">
        <f t="shared" si="34"/>
        <v>0</v>
      </c>
      <c r="V67" s="10">
        <f t="shared" si="35"/>
        <v>0</v>
      </c>
      <c r="W67" s="11" t="e">
        <f t="shared" si="36"/>
        <v>#DIV/0!</v>
      </c>
      <c r="X67" s="11">
        <f t="shared" si="24"/>
        <v>0</v>
      </c>
      <c r="Y67" s="83">
        <f t="shared" si="25"/>
        <v>0</v>
      </c>
      <c r="Z67" s="10">
        <f t="shared" si="26"/>
        <v>0</v>
      </c>
      <c r="AA67" s="11" t="e">
        <f t="shared" si="27"/>
        <v>#DIV/0!</v>
      </c>
      <c r="AB67" s="11" t="e">
        <f t="shared" si="28"/>
        <v>#DIV/0!</v>
      </c>
      <c r="AC67" s="11" t="e">
        <f t="shared" si="29"/>
        <v>#DIV/0!</v>
      </c>
      <c r="AD67" s="11" t="e">
        <f t="shared" si="30"/>
        <v>#DIV/0!</v>
      </c>
      <c r="AE67" s="20"/>
    </row>
    <row r="68" spans="1:33" x14ac:dyDescent="0.25">
      <c r="A68" s="272"/>
      <c r="B68" s="122"/>
      <c r="C68" s="114" t="s">
        <v>905</v>
      </c>
      <c r="D68" s="115" t="e">
        <f>'WZ Analysis (Worksheet)'!R92</f>
        <v>#DIV/0!</v>
      </c>
      <c r="E68" s="115" t="e">
        <f>'WZ Analysis (Worksheet)'!AD92</f>
        <v>#DIV/0!</v>
      </c>
      <c r="F68" s="115">
        <f>'WZ Analysis (Worksheet)'!Y92</f>
        <v>0</v>
      </c>
      <c r="H68" s="88">
        <v>17</v>
      </c>
      <c r="I68" s="78">
        <v>0.70833333333333304</v>
      </c>
      <c r="J68" s="79">
        <v>17</v>
      </c>
      <c r="K68" s="6">
        <f>'Step 2 - Facility Data Inputs'!F40</f>
        <v>0</v>
      </c>
      <c r="L68" s="179">
        <f t="shared" si="19"/>
        <v>0</v>
      </c>
      <c r="M68" s="72">
        <f t="shared" si="31"/>
        <v>0</v>
      </c>
      <c r="N68" s="72">
        <f t="shared" si="37"/>
        <v>0</v>
      </c>
      <c r="O68" s="72">
        <f t="shared" si="32"/>
        <v>0</v>
      </c>
      <c r="P68" s="83" t="e">
        <f t="shared" si="20"/>
        <v>#DIV/0!</v>
      </c>
      <c r="Q68" s="83" t="e">
        <f t="shared" si="21"/>
        <v>#DIV/0!</v>
      </c>
      <c r="R68" s="83" t="e">
        <f t="shared" si="22"/>
        <v>#DIV/0!</v>
      </c>
      <c r="S68" s="10">
        <f t="shared" si="23"/>
        <v>0</v>
      </c>
      <c r="T68" s="10">
        <f t="shared" si="33"/>
        <v>0</v>
      </c>
      <c r="U68" s="10">
        <f t="shared" si="34"/>
        <v>0</v>
      </c>
      <c r="V68" s="10">
        <f t="shared" si="35"/>
        <v>0</v>
      </c>
      <c r="W68" s="11" t="e">
        <f t="shared" si="36"/>
        <v>#DIV/0!</v>
      </c>
      <c r="X68" s="11">
        <f t="shared" si="24"/>
        <v>0</v>
      </c>
      <c r="Y68" s="83">
        <f t="shared" si="25"/>
        <v>0</v>
      </c>
      <c r="Z68" s="10">
        <f t="shared" si="26"/>
        <v>0</v>
      </c>
      <c r="AA68" s="11" t="e">
        <f t="shared" si="27"/>
        <v>#DIV/0!</v>
      </c>
      <c r="AB68" s="11" t="e">
        <f t="shared" si="28"/>
        <v>#DIV/0!</v>
      </c>
      <c r="AC68" s="11" t="e">
        <f t="shared" si="29"/>
        <v>#DIV/0!</v>
      </c>
      <c r="AD68" s="11" t="e">
        <f t="shared" si="30"/>
        <v>#DIV/0!</v>
      </c>
      <c r="AE68" s="20"/>
    </row>
    <row r="69" spans="1:33" ht="13.8" thickBot="1" x14ac:dyDescent="0.3">
      <c r="A69" s="273"/>
      <c r="B69" s="161"/>
      <c r="C69" s="162"/>
      <c r="D69" s="162"/>
      <c r="E69" s="162"/>
      <c r="F69" s="12"/>
      <c r="H69" s="88">
        <v>18</v>
      </c>
      <c r="I69" s="78">
        <v>0.75</v>
      </c>
      <c r="J69" s="79">
        <v>18</v>
      </c>
      <c r="K69" s="6">
        <f>'Step 2 - Facility Data Inputs'!F41</f>
        <v>0</v>
      </c>
      <c r="L69" s="179">
        <f t="shared" si="19"/>
        <v>0</v>
      </c>
      <c r="M69" s="72">
        <f t="shared" si="31"/>
        <v>0</v>
      </c>
      <c r="N69" s="72">
        <f t="shared" si="37"/>
        <v>0</v>
      </c>
      <c r="O69" s="72">
        <f t="shared" si="32"/>
        <v>0</v>
      </c>
      <c r="P69" s="83" t="e">
        <f t="shared" si="20"/>
        <v>#DIV/0!</v>
      </c>
      <c r="Q69" s="83" t="e">
        <f t="shared" si="21"/>
        <v>#DIV/0!</v>
      </c>
      <c r="R69" s="83" t="e">
        <f t="shared" si="22"/>
        <v>#DIV/0!</v>
      </c>
      <c r="S69" s="10">
        <f t="shared" si="23"/>
        <v>0</v>
      </c>
      <c r="T69" s="10">
        <f t="shared" si="33"/>
        <v>0</v>
      </c>
      <c r="U69" s="10">
        <f t="shared" si="34"/>
        <v>0</v>
      </c>
      <c r="V69" s="10">
        <f t="shared" si="35"/>
        <v>0</v>
      </c>
      <c r="W69" s="11" t="e">
        <f t="shared" si="36"/>
        <v>#DIV/0!</v>
      </c>
      <c r="X69" s="11">
        <f t="shared" si="24"/>
        <v>0</v>
      </c>
      <c r="Y69" s="83">
        <f t="shared" si="25"/>
        <v>0</v>
      </c>
      <c r="Z69" s="10">
        <f t="shared" si="26"/>
        <v>0</v>
      </c>
      <c r="AA69" s="11" t="e">
        <f t="shared" si="27"/>
        <v>#DIV/0!</v>
      </c>
      <c r="AB69" s="11" t="e">
        <f t="shared" si="28"/>
        <v>#DIV/0!</v>
      </c>
      <c r="AC69" s="11" t="e">
        <f t="shared" si="29"/>
        <v>#DIV/0!</v>
      </c>
      <c r="AD69" s="11" t="e">
        <f t="shared" si="30"/>
        <v>#DIV/0!</v>
      </c>
      <c r="AE69" s="20"/>
    </row>
    <row r="70" spans="1:33" x14ac:dyDescent="0.25">
      <c r="H70" s="88">
        <v>19</v>
      </c>
      <c r="I70" s="78">
        <v>0.79166666666666696</v>
      </c>
      <c r="J70" s="79">
        <v>19</v>
      </c>
      <c r="K70" s="6">
        <f>'Step 2 - Facility Data Inputs'!F42</f>
        <v>0</v>
      </c>
      <c r="L70" s="179">
        <f t="shared" si="19"/>
        <v>0</v>
      </c>
      <c r="M70" s="72">
        <f t="shared" si="31"/>
        <v>0</v>
      </c>
      <c r="N70" s="72">
        <f t="shared" si="37"/>
        <v>0</v>
      </c>
      <c r="O70" s="72">
        <f t="shared" si="32"/>
        <v>0</v>
      </c>
      <c r="P70" s="83" t="e">
        <f t="shared" si="20"/>
        <v>#DIV/0!</v>
      </c>
      <c r="Q70" s="83" t="e">
        <f t="shared" si="21"/>
        <v>#DIV/0!</v>
      </c>
      <c r="R70" s="83" t="e">
        <f t="shared" si="22"/>
        <v>#DIV/0!</v>
      </c>
      <c r="S70" s="10">
        <f t="shared" si="23"/>
        <v>0</v>
      </c>
      <c r="T70" s="10">
        <f t="shared" si="33"/>
        <v>0</v>
      </c>
      <c r="U70" s="10">
        <f>IF((K70&lt;S70),IF((S70-K70)&gt;V69,V69+K70+U69,S70+U69),(S70+U69))</f>
        <v>0</v>
      </c>
      <c r="V70" s="10">
        <f t="shared" si="35"/>
        <v>0</v>
      </c>
      <c r="W70" s="11" t="e">
        <f t="shared" si="36"/>
        <v>#DIV/0!</v>
      </c>
      <c r="X70" s="11">
        <f t="shared" si="24"/>
        <v>0</v>
      </c>
      <c r="Y70" s="83">
        <f t="shared" si="25"/>
        <v>0</v>
      </c>
      <c r="Z70" s="10">
        <f t="shared" si="26"/>
        <v>0</v>
      </c>
      <c r="AA70" s="11" t="e">
        <f t="shared" si="27"/>
        <v>#DIV/0!</v>
      </c>
      <c r="AB70" s="11" t="e">
        <f t="shared" si="28"/>
        <v>#DIV/0!</v>
      </c>
      <c r="AC70" s="11" t="e">
        <f t="shared" si="29"/>
        <v>#DIV/0!</v>
      </c>
      <c r="AD70" s="11" t="e">
        <f t="shared" si="30"/>
        <v>#DIV/0!</v>
      </c>
      <c r="AE70" s="20"/>
    </row>
    <row r="71" spans="1:33" x14ac:dyDescent="0.25">
      <c r="H71" s="88">
        <v>20</v>
      </c>
      <c r="I71" s="78">
        <v>0.83333333333333304</v>
      </c>
      <c r="J71" s="79">
        <v>20</v>
      </c>
      <c r="K71" s="6">
        <f>'Step 2 - Facility Data Inputs'!F43</f>
        <v>0</v>
      </c>
      <c r="L71" s="179">
        <f t="shared" si="19"/>
        <v>0</v>
      </c>
      <c r="M71" s="72">
        <f t="shared" si="31"/>
        <v>0</v>
      </c>
      <c r="N71" s="72">
        <f t="shared" si="37"/>
        <v>0</v>
      </c>
      <c r="O71" s="72">
        <f t="shared" si="32"/>
        <v>0</v>
      </c>
      <c r="P71" s="83" t="e">
        <f t="shared" si="20"/>
        <v>#DIV/0!</v>
      </c>
      <c r="Q71" s="83" t="e">
        <f t="shared" si="21"/>
        <v>#DIV/0!</v>
      </c>
      <c r="R71" s="83" t="e">
        <f t="shared" si="22"/>
        <v>#DIV/0!</v>
      </c>
      <c r="S71" s="10">
        <f t="shared" si="23"/>
        <v>0</v>
      </c>
      <c r="T71" s="10">
        <f t="shared" si="33"/>
        <v>0</v>
      </c>
      <c r="U71" s="10">
        <f t="shared" si="34"/>
        <v>0</v>
      </c>
      <c r="V71" s="10">
        <f t="shared" si="35"/>
        <v>0</v>
      </c>
      <c r="W71" s="11" t="e">
        <f t="shared" si="36"/>
        <v>#DIV/0!</v>
      </c>
      <c r="X71" s="11">
        <f t="shared" si="24"/>
        <v>0</v>
      </c>
      <c r="Y71" s="83">
        <f t="shared" si="25"/>
        <v>0</v>
      </c>
      <c r="Z71" s="10">
        <f t="shared" si="26"/>
        <v>0</v>
      </c>
      <c r="AA71" s="11" t="e">
        <f t="shared" si="27"/>
        <v>#DIV/0!</v>
      </c>
      <c r="AB71" s="11" t="e">
        <f t="shared" si="28"/>
        <v>#DIV/0!</v>
      </c>
      <c r="AC71" s="11" t="e">
        <f t="shared" si="29"/>
        <v>#DIV/0!</v>
      </c>
      <c r="AD71" s="11" t="e">
        <f t="shared" si="30"/>
        <v>#DIV/0!</v>
      </c>
      <c r="AE71" s="20"/>
    </row>
    <row r="72" spans="1:33" x14ac:dyDescent="0.25">
      <c r="H72" s="88">
        <v>21</v>
      </c>
      <c r="I72" s="78">
        <v>0.875</v>
      </c>
      <c r="J72" s="79">
        <v>21</v>
      </c>
      <c r="K72" s="6">
        <f>'Step 2 - Facility Data Inputs'!F44</f>
        <v>0</v>
      </c>
      <c r="L72" s="179">
        <f t="shared" si="19"/>
        <v>0</v>
      </c>
      <c r="M72" s="72">
        <f t="shared" si="31"/>
        <v>0</v>
      </c>
      <c r="N72" s="72">
        <f t="shared" si="37"/>
        <v>0</v>
      </c>
      <c r="O72" s="72">
        <f t="shared" si="32"/>
        <v>0</v>
      </c>
      <c r="P72" s="83" t="e">
        <f t="shared" si="20"/>
        <v>#DIV/0!</v>
      </c>
      <c r="Q72" s="83" t="e">
        <f t="shared" si="21"/>
        <v>#DIV/0!</v>
      </c>
      <c r="R72" s="83" t="e">
        <f t="shared" si="22"/>
        <v>#DIV/0!</v>
      </c>
      <c r="S72" s="10">
        <f t="shared" si="23"/>
        <v>0</v>
      </c>
      <c r="T72" s="10">
        <f t="shared" si="33"/>
        <v>0</v>
      </c>
      <c r="U72" s="10">
        <f t="shared" si="34"/>
        <v>0</v>
      </c>
      <c r="V72" s="10">
        <f t="shared" si="35"/>
        <v>0</v>
      </c>
      <c r="W72" s="11" t="e">
        <f t="shared" si="36"/>
        <v>#DIV/0!</v>
      </c>
      <c r="X72" s="11">
        <f t="shared" si="24"/>
        <v>0</v>
      </c>
      <c r="Y72" s="83">
        <f t="shared" si="25"/>
        <v>0</v>
      </c>
      <c r="Z72" s="10">
        <f t="shared" si="26"/>
        <v>0</v>
      </c>
      <c r="AA72" s="11" t="e">
        <f t="shared" si="27"/>
        <v>#DIV/0!</v>
      </c>
      <c r="AB72" s="11" t="e">
        <f t="shared" si="28"/>
        <v>#DIV/0!</v>
      </c>
      <c r="AC72" s="11" t="e">
        <f t="shared" si="29"/>
        <v>#DIV/0!</v>
      </c>
      <c r="AD72" s="11" t="e">
        <f t="shared" si="30"/>
        <v>#DIV/0!</v>
      </c>
      <c r="AE72" s="20"/>
    </row>
    <row r="73" spans="1:33" x14ac:dyDescent="0.25">
      <c r="H73" s="88">
        <v>22</v>
      </c>
      <c r="I73" s="78">
        <v>0.91666666666666696</v>
      </c>
      <c r="J73" s="79">
        <v>22</v>
      </c>
      <c r="K73" s="6">
        <f>'Step 2 - Facility Data Inputs'!F45</f>
        <v>0</v>
      </c>
      <c r="L73" s="179">
        <f t="shared" si="19"/>
        <v>0</v>
      </c>
      <c r="M73" s="72">
        <f t="shared" si="31"/>
        <v>0</v>
      </c>
      <c r="N73" s="72">
        <f t="shared" si="37"/>
        <v>0</v>
      </c>
      <c r="O73" s="72">
        <f t="shared" si="32"/>
        <v>0</v>
      </c>
      <c r="P73" s="83" t="e">
        <f t="shared" si="20"/>
        <v>#DIV/0!</v>
      </c>
      <c r="Q73" s="83" t="e">
        <f t="shared" si="21"/>
        <v>#DIV/0!</v>
      </c>
      <c r="R73" s="83" t="e">
        <f t="shared" si="22"/>
        <v>#DIV/0!</v>
      </c>
      <c r="S73" s="10">
        <f t="shared" si="23"/>
        <v>0</v>
      </c>
      <c r="T73" s="10">
        <f t="shared" si="33"/>
        <v>0</v>
      </c>
      <c r="U73" s="10">
        <f t="shared" si="34"/>
        <v>0</v>
      </c>
      <c r="V73" s="10">
        <f t="shared" si="35"/>
        <v>0</v>
      </c>
      <c r="W73" s="11" t="e">
        <f t="shared" si="36"/>
        <v>#DIV/0!</v>
      </c>
      <c r="X73" s="11">
        <f t="shared" si="24"/>
        <v>0</v>
      </c>
      <c r="Y73" s="83">
        <f t="shared" si="25"/>
        <v>0</v>
      </c>
      <c r="Z73" s="10">
        <f t="shared" si="26"/>
        <v>0</v>
      </c>
      <c r="AA73" s="11" t="e">
        <f t="shared" si="27"/>
        <v>#DIV/0!</v>
      </c>
      <c r="AB73" s="11" t="e">
        <f t="shared" si="28"/>
        <v>#DIV/0!</v>
      </c>
      <c r="AC73" s="11" t="e">
        <f t="shared" si="29"/>
        <v>#DIV/0!</v>
      </c>
      <c r="AD73" s="11" t="e">
        <f t="shared" si="30"/>
        <v>#DIV/0!</v>
      </c>
      <c r="AE73" s="20"/>
    </row>
    <row r="74" spans="1:33" ht="13.8" thickBot="1" x14ac:dyDescent="0.3">
      <c r="H74" s="89">
        <v>23</v>
      </c>
      <c r="I74" s="78">
        <v>0.95833333333333304</v>
      </c>
      <c r="J74" s="79">
        <v>23</v>
      </c>
      <c r="K74" s="6">
        <f>'Step 2 - Facility Data Inputs'!F46</f>
        <v>0</v>
      </c>
      <c r="L74" s="179">
        <f t="shared" si="19"/>
        <v>0</v>
      </c>
      <c r="M74" s="72">
        <f t="shared" si="31"/>
        <v>0</v>
      </c>
      <c r="N74" s="72">
        <f t="shared" si="37"/>
        <v>0</v>
      </c>
      <c r="O74" s="72">
        <f t="shared" si="32"/>
        <v>0</v>
      </c>
      <c r="P74" s="83" t="e">
        <f t="shared" si="20"/>
        <v>#DIV/0!</v>
      </c>
      <c r="Q74" s="83" t="e">
        <f t="shared" si="21"/>
        <v>#DIV/0!</v>
      </c>
      <c r="R74" s="83" t="e">
        <f t="shared" si="22"/>
        <v>#DIV/0!</v>
      </c>
      <c r="S74" s="10">
        <f t="shared" si="23"/>
        <v>0</v>
      </c>
      <c r="T74" s="13">
        <f t="shared" si="33"/>
        <v>0</v>
      </c>
      <c r="U74" s="10">
        <f t="shared" si="34"/>
        <v>0</v>
      </c>
      <c r="V74" s="13">
        <f t="shared" si="35"/>
        <v>0</v>
      </c>
      <c r="W74" s="11" t="e">
        <f t="shared" si="36"/>
        <v>#DIV/0!</v>
      </c>
      <c r="X74" s="11">
        <f t="shared" si="24"/>
        <v>0</v>
      </c>
      <c r="Y74" s="83">
        <f t="shared" si="25"/>
        <v>0</v>
      </c>
      <c r="Z74" s="13">
        <f t="shared" si="26"/>
        <v>0</v>
      </c>
      <c r="AA74" s="14" t="e">
        <f t="shared" si="27"/>
        <v>#DIV/0!</v>
      </c>
      <c r="AB74" s="11" t="e">
        <f t="shared" si="28"/>
        <v>#DIV/0!</v>
      </c>
      <c r="AC74" s="11" t="e">
        <f>IF((X74-Q74)=0,IF(OR(AB73&lt;&gt;0,AB51&lt;&gt;0),0,NA()),X74)</f>
        <v>#DIV/0!</v>
      </c>
      <c r="AD74" s="11" t="e">
        <f t="shared" si="30"/>
        <v>#DIV/0!</v>
      </c>
      <c r="AE74" s="20"/>
    </row>
    <row r="75" spans="1:33" x14ac:dyDescent="0.25">
      <c r="I75" s="5"/>
      <c r="J75" s="5"/>
      <c r="K75" s="5"/>
      <c r="L75" s="73"/>
      <c r="M75" s="73"/>
      <c r="N75" s="73"/>
      <c r="O75" s="73"/>
      <c r="P75" s="97" t="e">
        <f>MAX(P51:P74)</f>
        <v>#DIV/0!</v>
      </c>
      <c r="Q75" s="97" t="e">
        <f>MAX(Q51:Q74)</f>
        <v>#DIV/0!</v>
      </c>
      <c r="R75" s="97" t="e">
        <f>(SUM(R51:R74))</f>
        <v>#DIV/0!</v>
      </c>
      <c r="S75" s="5"/>
      <c r="T75" s="5"/>
      <c r="U75" s="5"/>
      <c r="V75" s="5"/>
      <c r="W75" s="87" t="e">
        <f>MAX(W51:W74)</f>
        <v>#DIV/0!</v>
      </c>
      <c r="X75" s="97">
        <f>MAX(X51:X74)</f>
        <v>0</v>
      </c>
      <c r="Y75" s="97">
        <f>ROUND(SUM(Y51:Y74),0)</f>
        <v>0</v>
      </c>
      <c r="Z75" s="19">
        <f>SUM(Z51:Z74)</f>
        <v>0</v>
      </c>
      <c r="AA75" s="97" t="e">
        <f>MAX(AA51:AA74)</f>
        <v>#DIV/0!</v>
      </c>
      <c r="AB75" s="97" t="e">
        <f>MAX(AB51:AB74)</f>
        <v>#DIV/0!</v>
      </c>
      <c r="AC75" s="97"/>
      <c r="AD75" s="97" t="e">
        <f>ROUND(SUM(AD51:AD74),0)</f>
        <v>#DIV/0!</v>
      </c>
      <c r="AE75" s="20"/>
    </row>
    <row r="76" spans="1:33" x14ac:dyDescent="0.25">
      <c r="I76" s="5"/>
      <c r="J76" s="5"/>
      <c r="K76" s="5"/>
      <c r="L76" s="73"/>
      <c r="M76" s="73"/>
      <c r="N76" s="73"/>
      <c r="O76" s="73"/>
      <c r="P76" s="73"/>
      <c r="Q76" s="73"/>
      <c r="R76" s="73" t="e">
        <f>IF(R75&lt;100,ROUND(R75,0),IF(R75&lt;1000,ROUND(R75,-1),ROUND(R75,-2)))</f>
        <v>#DIV/0!</v>
      </c>
      <c r="S76" s="5"/>
      <c r="T76" s="5"/>
      <c r="U76" s="5"/>
      <c r="V76" s="5"/>
      <c r="W76" s="5"/>
      <c r="X76" s="5"/>
      <c r="Y76" s="73" t="e">
        <f>AD76+R76</f>
        <v>#DIV/0!</v>
      </c>
      <c r="AD76" s="73" t="e">
        <f>IF(AD75&lt;100,ROUND(AD75,0),IF(AD75&lt;1000,ROUND(AD75,-1),ROUND(AD75,-2)))</f>
        <v>#DIV/0!</v>
      </c>
    </row>
    <row r="77" spans="1:33" ht="13.8" thickBot="1" x14ac:dyDescent="0.3">
      <c r="I77" s="5"/>
      <c r="J77" s="5"/>
      <c r="K77" s="5"/>
      <c r="L77" s="73"/>
      <c r="M77" s="73"/>
      <c r="N77" s="73"/>
      <c r="O77" s="73"/>
      <c r="P77" s="73"/>
      <c r="Q77" s="73"/>
      <c r="R77" s="73"/>
      <c r="S77" s="5"/>
      <c r="T77" s="5"/>
      <c r="U77" s="5"/>
      <c r="V77" s="5"/>
      <c r="W77" s="5"/>
      <c r="X77" s="5"/>
      <c r="Y77" s="73"/>
      <c r="AD77" s="73"/>
    </row>
    <row r="78" spans="1:33" ht="27.75" customHeight="1" x14ac:dyDescent="0.3">
      <c r="A78" s="271" t="str">
        <f>'Step 2 - Facility Data Inputs'!G19</f>
        <v>Tuesday</v>
      </c>
      <c r="B78" s="155"/>
      <c r="C78" s="156"/>
      <c r="D78" s="156"/>
      <c r="E78" s="157"/>
      <c r="F78" s="157"/>
      <c r="H78" s="7">
        <f>'Step 2 - Facility Data Inputs'!F49</f>
        <v>0</v>
      </c>
      <c r="I78" s="8" t="s">
        <v>2</v>
      </c>
      <c r="J78" s="8"/>
      <c r="K78" s="8" t="s">
        <v>5</v>
      </c>
      <c r="L78" s="92" t="s">
        <v>875</v>
      </c>
      <c r="M78" s="92" t="s">
        <v>877</v>
      </c>
      <c r="N78" s="92" t="s">
        <v>878</v>
      </c>
      <c r="O78" s="92" t="s">
        <v>879</v>
      </c>
      <c r="P78" s="92" t="s">
        <v>910</v>
      </c>
      <c r="Q78" s="92" t="s">
        <v>880</v>
      </c>
      <c r="R78" s="92" t="s">
        <v>882</v>
      </c>
      <c r="S78" s="93" t="s">
        <v>6</v>
      </c>
      <c r="T78" s="94" t="s">
        <v>9</v>
      </c>
      <c r="U78" s="94" t="s">
        <v>11</v>
      </c>
      <c r="V78" s="94" t="s">
        <v>8</v>
      </c>
      <c r="W78" s="9" t="s">
        <v>7</v>
      </c>
      <c r="X78" s="9" t="s">
        <v>924</v>
      </c>
      <c r="Y78" s="94" t="s">
        <v>883</v>
      </c>
      <c r="Z78" s="95" t="s">
        <v>881</v>
      </c>
      <c r="AA78" s="95" t="s">
        <v>908</v>
      </c>
      <c r="AB78" s="95" t="s">
        <v>909</v>
      </c>
      <c r="AC78" s="96" t="s">
        <v>911</v>
      </c>
      <c r="AD78" s="96" t="s">
        <v>884</v>
      </c>
    </row>
    <row r="79" spans="1:33" ht="13.8" x14ac:dyDescent="0.25">
      <c r="A79" s="272"/>
      <c r="B79" s="122"/>
      <c r="C79" s="164" t="s">
        <v>906</v>
      </c>
      <c r="D79" s="2"/>
      <c r="E79" s="2"/>
      <c r="F79" s="2"/>
      <c r="H79" s="2"/>
      <c r="I79" s="10"/>
      <c r="J79" s="10"/>
      <c r="K79" s="10"/>
      <c r="L79" s="72"/>
      <c r="M79" s="72"/>
      <c r="N79" s="72"/>
      <c r="O79" s="72"/>
      <c r="P79" s="72"/>
      <c r="Q79" s="72"/>
      <c r="R79" s="72"/>
      <c r="S79" s="10"/>
      <c r="T79" s="10"/>
      <c r="U79" s="10"/>
      <c r="V79" s="10"/>
      <c r="W79" s="10"/>
      <c r="X79" s="10"/>
      <c r="Y79" s="10"/>
      <c r="Z79" s="10"/>
      <c r="AA79" s="10"/>
      <c r="AB79" s="10"/>
      <c r="AC79" s="10"/>
      <c r="AD79" s="10"/>
      <c r="AF79" s="4" t="s">
        <v>60</v>
      </c>
      <c r="AG79" s="22">
        <f>G89</f>
        <v>0</v>
      </c>
    </row>
    <row r="80" spans="1:33" ht="92.4" x14ac:dyDescent="0.25">
      <c r="A80" s="272"/>
      <c r="B80" s="122"/>
      <c r="C80" s="121" t="s">
        <v>912</v>
      </c>
      <c r="D80" s="194">
        <f>'Step 3 - WZ Analysis'!D51</f>
        <v>1900</v>
      </c>
      <c r="E80" s="176" t="s">
        <v>919</v>
      </c>
      <c r="F80" s="167">
        <f>D80*$I$10</f>
        <v>0</v>
      </c>
      <c r="H80" s="88">
        <v>0</v>
      </c>
      <c r="I80" s="78">
        <v>0</v>
      </c>
      <c r="J80" s="79">
        <v>0</v>
      </c>
      <c r="K80" s="6">
        <f>'Step 2 - Facility Data Inputs'!G23</f>
        <v>0</v>
      </c>
      <c r="L80" s="179">
        <f>$F$80</f>
        <v>0</v>
      </c>
      <c r="M80" s="72">
        <f>K80</f>
        <v>0</v>
      </c>
      <c r="N80" s="179">
        <f>MIN(K80,L80)</f>
        <v>0</v>
      </c>
      <c r="O80" s="72">
        <f>M80-K80</f>
        <v>0</v>
      </c>
      <c r="P80" s="83" t="e">
        <f>O80*$I$12/(5280*$I$10)</f>
        <v>#DIV/0!</v>
      </c>
      <c r="Q80" s="83" t="e">
        <f>60*O80/L80</f>
        <v>#DIV/0!</v>
      </c>
      <c r="R80" s="83" t="e">
        <f>((O80*Q80)*$I$11*$J$16/(60))+((O80*Q80)*(1-$I$11)*$J$17/(60))</f>
        <v>#DIV/0!</v>
      </c>
      <c r="S80" s="10">
        <f>IF($AG$83-H81&gt;=0,IF($G$88="",$F$87,$G$88),IF(AND(H80&gt;=$AG$79,H80&lt;$AG$79+$AG$80),IF($G$88="",$F$87,$G$88),$F$80))</f>
        <v>0</v>
      </c>
      <c r="T80" s="10">
        <f>K80</f>
        <v>0</v>
      </c>
      <c r="U80" s="10">
        <f>MIN(K80,S80)</f>
        <v>0</v>
      </c>
      <c r="V80" s="10">
        <f>T80-K80</f>
        <v>0</v>
      </c>
      <c r="W80" s="11" t="e">
        <f>V80*$I$12/(5280*$I$10)</f>
        <v>#DIV/0!</v>
      </c>
      <c r="X80" s="11">
        <f>IF(S80=0,60*V80,60*V80/S80)</f>
        <v>0</v>
      </c>
      <c r="Y80" s="83">
        <f>((V80*X80)*$I$11*$J$16/(60))+((V80*X80)*(1-$I$11)*$J$17/(60))</f>
        <v>0</v>
      </c>
      <c r="Z80" s="10">
        <f>V80-O80</f>
        <v>0</v>
      </c>
      <c r="AA80" s="11" t="e">
        <f>W80-P80</f>
        <v>#DIV/0!</v>
      </c>
      <c r="AB80" s="11" t="e">
        <f>X80-Q80</f>
        <v>#DIV/0!</v>
      </c>
      <c r="AC80" s="11" t="e">
        <f>IF((X80-Q80)=0,IF(OR(AB103&lt;&gt;0,AB81&lt;&gt;0),0,NA()),X80)</f>
        <v>#DIV/0!</v>
      </c>
      <c r="AD80" s="11" t="e">
        <f>Y80-R80</f>
        <v>#DIV/0!</v>
      </c>
      <c r="AE80" s="20"/>
      <c r="AF80" s="4" t="s">
        <v>61</v>
      </c>
      <c r="AG80" s="21">
        <f>'Step 3 - WZ Analysis'!D62</f>
        <v>0</v>
      </c>
    </row>
    <row r="81" spans="1:33" x14ac:dyDescent="0.25">
      <c r="A81" s="272"/>
      <c r="B81" s="122"/>
      <c r="C81" s="2"/>
      <c r="D81" s="125"/>
      <c r="E81" s="2"/>
      <c r="F81" s="2"/>
      <c r="H81" s="88">
        <v>1</v>
      </c>
      <c r="I81" s="78">
        <v>4.1666666666666699E-2</v>
      </c>
      <c r="J81" s="79">
        <v>1</v>
      </c>
      <c r="K81" s="6">
        <f>'Step 2 - Facility Data Inputs'!G24</f>
        <v>0</v>
      </c>
      <c r="L81" s="179">
        <f t="shared" ref="L81:L103" si="38">$F$80</f>
        <v>0</v>
      </c>
      <c r="M81" s="72">
        <f>M80+K81</f>
        <v>0</v>
      </c>
      <c r="N81" s="72">
        <f>IF((K81&lt;M81),IF((L81-K81)&gt;O80,O80+K81+N80,L81+N80),(L81+N80))</f>
        <v>0</v>
      </c>
      <c r="O81" s="72">
        <f>IF((K81&lt;L81),IF((L81-K81)&gt;O80,0,O80-(L81-K81)),(O80+(K81-L81)))</f>
        <v>0</v>
      </c>
      <c r="P81" s="83" t="e">
        <f t="shared" ref="P81:P103" si="39">O81*$I$12/(5280*$I$10)</f>
        <v>#DIV/0!</v>
      </c>
      <c r="Q81" s="83" t="e">
        <f t="shared" ref="Q81:Q103" si="40">60*O81/L81</f>
        <v>#DIV/0!</v>
      </c>
      <c r="R81" s="83" t="e">
        <f t="shared" ref="R81:R103" si="41">((O81*Q81)*$I$11*$J$16/(60))+((O81*Q81)*(1-$I$11)*$J$17/(60))</f>
        <v>#DIV/0!</v>
      </c>
      <c r="S81" s="10">
        <f t="shared" ref="S81:S103" si="42">IF($AG$83-H82&gt;=0,IF($G$88="",$F$87,$G$88),IF(AND(H81&gt;=$AG$79,H81&lt;$AG$79+$AG$80),IF($G$88="",$F$87,$G$88),$F$80))</f>
        <v>0</v>
      </c>
      <c r="T81" s="10">
        <f>T80+K81</f>
        <v>0</v>
      </c>
      <c r="U81" s="10">
        <f>IF((K81&lt;S81),IF((S81-K81)&gt;V80,V80+K81+U80,S81+U80),(S81+U80))</f>
        <v>0</v>
      </c>
      <c r="V81" s="10">
        <f>IF((K81&lt;S81),IF((S81-K81)&gt;V80,0,V80-(S81-K81)),(V80+(K81-S81)))</f>
        <v>0</v>
      </c>
      <c r="W81" s="11" t="e">
        <f t="shared" ref="W81:W103" si="43">V81*$I$12/(5280*$I$10)</f>
        <v>#DIV/0!</v>
      </c>
      <c r="X81" s="11">
        <f t="shared" ref="X81:X103" si="44">IF(S81=0,60*V81,60*V81/S81)</f>
        <v>0</v>
      </c>
      <c r="Y81" s="83">
        <f t="shared" ref="Y81:Y103" si="45">((V81*X81)*$I$11*$J$16/(60))+((V81*X81)*(1-$I$11)*$J$17/(60))</f>
        <v>0</v>
      </c>
      <c r="Z81" s="10">
        <f t="shared" ref="Z81:Z85" si="46">V81-O81</f>
        <v>0</v>
      </c>
      <c r="AA81" s="11" t="e">
        <f t="shared" ref="AA81:AA103" si="47">W81-P81</f>
        <v>#DIV/0!</v>
      </c>
      <c r="AB81" s="11" t="e">
        <f t="shared" ref="AB81:AB103" si="48">X81-Q81</f>
        <v>#DIV/0!</v>
      </c>
      <c r="AC81" s="11" t="e">
        <f t="shared" ref="AC81" si="49">IF((X81-Q81)=0,IF(OR(AB80&lt;&gt;0,AB82&lt;&gt;0),0,NA()),X81)</f>
        <v>#DIV/0!</v>
      </c>
      <c r="AD81" s="11" t="e">
        <f t="shared" ref="AD81" si="50">Y81-R81</f>
        <v>#DIV/0!</v>
      </c>
      <c r="AE81" s="20"/>
      <c r="AF81" s="90"/>
      <c r="AG81" s="74"/>
    </row>
    <row r="82" spans="1:33" ht="13.8" x14ac:dyDescent="0.25">
      <c r="A82" s="272"/>
      <c r="B82" s="122"/>
      <c r="C82" s="165" t="s">
        <v>841</v>
      </c>
      <c r="D82" s="125"/>
      <c r="E82" s="2"/>
      <c r="F82" s="2"/>
      <c r="H82" s="88">
        <v>2</v>
      </c>
      <c r="I82" s="78">
        <v>8.3333333333333301E-2</v>
      </c>
      <c r="J82" s="79">
        <v>2</v>
      </c>
      <c r="K82" s="6">
        <f>'Step 2 - Facility Data Inputs'!G25</f>
        <v>0</v>
      </c>
      <c r="L82" s="179">
        <f t="shared" si="38"/>
        <v>0</v>
      </c>
      <c r="M82" s="72">
        <f t="shared" ref="M82:M103" si="51">M81+K82</f>
        <v>0</v>
      </c>
      <c r="N82" s="72">
        <f>IF((K82&lt;M82),IF((L82-K82)&gt;O81,O81+K82+N81,L82+N81),(L82+N81))</f>
        <v>0</v>
      </c>
      <c r="O82" s="72">
        <f t="shared" ref="O82:O103" si="52">IF((K82&lt;L82),IF((L82-K82)&gt;O81,0,O81-(L82-K82)),(O81+(K82-L82)))</f>
        <v>0</v>
      </c>
      <c r="P82" s="83" t="e">
        <f t="shared" si="39"/>
        <v>#DIV/0!</v>
      </c>
      <c r="Q82" s="83" t="e">
        <f t="shared" si="40"/>
        <v>#DIV/0!</v>
      </c>
      <c r="R82" s="83" t="e">
        <f t="shared" si="41"/>
        <v>#DIV/0!</v>
      </c>
      <c r="S82" s="10">
        <f t="shared" si="42"/>
        <v>0</v>
      </c>
      <c r="T82" s="10">
        <f t="shared" ref="T82:T103" si="53">T81+K82</f>
        <v>0</v>
      </c>
      <c r="U82" s="10">
        <f t="shared" ref="U82:U98" si="54">IF((K82&lt;S82),IF((S82-K82)&gt;V81,V81+K82+U81,S82+U81),(S82+U81))</f>
        <v>0</v>
      </c>
      <c r="V82" s="10">
        <f t="shared" ref="V82:V103" si="55">IF((K82&lt;S82),IF((S82-K82)&gt;V81,0,V81-(S82-K82)),(V81+(K82-S82)))</f>
        <v>0</v>
      </c>
      <c r="W82" s="11" t="e">
        <f t="shared" si="43"/>
        <v>#DIV/0!</v>
      </c>
      <c r="X82" s="11">
        <f t="shared" si="44"/>
        <v>0</v>
      </c>
      <c r="Y82" s="83">
        <f t="shared" si="45"/>
        <v>0</v>
      </c>
      <c r="Z82" s="10">
        <f t="shared" si="46"/>
        <v>0</v>
      </c>
      <c r="AA82" s="11" t="e">
        <f t="shared" si="47"/>
        <v>#DIV/0!</v>
      </c>
      <c r="AB82" s="11" t="e">
        <f t="shared" si="48"/>
        <v>#DIV/0!</v>
      </c>
      <c r="AC82" s="11" t="e">
        <f>IF((X82-Q82)=0,IF(OR(AB81&lt;&gt;0,AB83&lt;&gt;0),0,NA()),X82)</f>
        <v>#DIV/0!</v>
      </c>
      <c r="AD82" s="11" t="e">
        <f>Y82-R82</f>
        <v>#DIV/0!</v>
      </c>
      <c r="AE82" s="20"/>
      <c r="AF82" s="90" t="s">
        <v>18</v>
      </c>
      <c r="AG82" s="74">
        <f>COUNT(H80:H103)</f>
        <v>24</v>
      </c>
    </row>
    <row r="83" spans="1:33" x14ac:dyDescent="0.25">
      <c r="A83" s="272"/>
      <c r="B83" s="122"/>
      <c r="C83" s="120" t="s">
        <v>920</v>
      </c>
      <c r="D83" s="262" t="str">
        <f>'Step 3 - WZ Analysis'!D54:F54</f>
        <v>(Example: Pothole Patching - Close One Lane OR Joint Repair - Two Lanes Closed)</v>
      </c>
      <c r="E83" s="262"/>
      <c r="F83" s="262"/>
      <c r="H83" s="88">
        <v>3</v>
      </c>
      <c r="I83" s="78">
        <v>0.125</v>
      </c>
      <c r="J83" s="79">
        <v>3</v>
      </c>
      <c r="K83" s="6">
        <f>'Step 2 - Facility Data Inputs'!G26</f>
        <v>0</v>
      </c>
      <c r="L83" s="179">
        <f t="shared" si="38"/>
        <v>0</v>
      </c>
      <c r="M83" s="72">
        <f t="shared" si="51"/>
        <v>0</v>
      </c>
      <c r="N83" s="72">
        <f>IF((K83&lt;M83),IF((L83-K83)&gt;O82,O82+K83+N82,L83+N82),(L83+N82))</f>
        <v>0</v>
      </c>
      <c r="O83" s="72">
        <f t="shared" si="52"/>
        <v>0</v>
      </c>
      <c r="P83" s="83" t="e">
        <f t="shared" si="39"/>
        <v>#DIV/0!</v>
      </c>
      <c r="Q83" s="83" t="e">
        <f t="shared" si="40"/>
        <v>#DIV/0!</v>
      </c>
      <c r="R83" s="83" t="e">
        <f t="shared" si="41"/>
        <v>#DIV/0!</v>
      </c>
      <c r="S83" s="10">
        <f t="shared" si="42"/>
        <v>0</v>
      </c>
      <c r="T83" s="10">
        <f t="shared" si="53"/>
        <v>0</v>
      </c>
      <c r="U83" s="10">
        <f t="shared" si="54"/>
        <v>0</v>
      </c>
      <c r="V83" s="10">
        <f t="shared" si="55"/>
        <v>0</v>
      </c>
      <c r="W83" s="11" t="e">
        <f t="shared" si="43"/>
        <v>#DIV/0!</v>
      </c>
      <c r="X83" s="11">
        <f>IF(S83=0,60*V83,60*V83/S83)</f>
        <v>0</v>
      </c>
      <c r="Y83" s="83">
        <f t="shared" si="45"/>
        <v>0</v>
      </c>
      <c r="Z83" s="10">
        <f t="shared" si="46"/>
        <v>0</v>
      </c>
      <c r="AA83" s="11" t="e">
        <f t="shared" si="47"/>
        <v>#DIV/0!</v>
      </c>
      <c r="AB83" s="11" t="e">
        <f t="shared" si="48"/>
        <v>#DIV/0!</v>
      </c>
      <c r="AC83" s="11" t="e">
        <f t="shared" ref="AC83:AC102" si="56">IF((X83-Q83)=0,IF(OR(AB82&lt;&gt;0,AB84&lt;&gt;0),0,NA()),X83)</f>
        <v>#DIV/0!</v>
      </c>
      <c r="AD83" s="11" t="e">
        <f t="shared" ref="AD83:AD103" si="57">Y83-R83</f>
        <v>#DIV/0!</v>
      </c>
      <c r="AE83" s="20"/>
      <c r="AF83" s="90" t="s">
        <v>19</v>
      </c>
      <c r="AG83" s="180">
        <f>AG79+AG80-AG82</f>
        <v>-24</v>
      </c>
    </row>
    <row r="84" spans="1:33" x14ac:dyDescent="0.25">
      <c r="A84" s="272"/>
      <c r="B84" s="122"/>
      <c r="C84" s="120" t="s">
        <v>913</v>
      </c>
      <c r="D84" s="274" t="str">
        <f>'Step 3 - WZ Analysis'!D55:F55</f>
        <v>No Work Zone (Use for Calibrating Existing Conditions)</v>
      </c>
      <c r="E84" s="274"/>
      <c r="F84" s="274"/>
      <c r="G84">
        <f>VLOOKUP(D84,'Reference Sheet'!$S$2:$T$8,2)</f>
        <v>538</v>
      </c>
      <c r="H84" s="88">
        <v>4</v>
      </c>
      <c r="I84" s="78">
        <v>0.16666666666666699</v>
      </c>
      <c r="J84" s="79">
        <v>4</v>
      </c>
      <c r="K84" s="6">
        <f>'Step 2 - Facility Data Inputs'!G27</f>
        <v>0</v>
      </c>
      <c r="L84" s="179">
        <f t="shared" si="38"/>
        <v>0</v>
      </c>
      <c r="M84" s="72">
        <f t="shared" si="51"/>
        <v>0</v>
      </c>
      <c r="N84" s="72">
        <f t="shared" ref="N84:N103" si="58">IF((K84&lt;M84),IF((L84-K84)&gt;O83,O83+K84+N83,L84+N83),(L84+N83))</f>
        <v>0</v>
      </c>
      <c r="O84" s="72">
        <f t="shared" si="52"/>
        <v>0</v>
      </c>
      <c r="P84" s="83" t="e">
        <f t="shared" si="39"/>
        <v>#DIV/0!</v>
      </c>
      <c r="Q84" s="83" t="e">
        <f t="shared" si="40"/>
        <v>#DIV/0!</v>
      </c>
      <c r="R84" s="83" t="e">
        <f t="shared" si="41"/>
        <v>#DIV/0!</v>
      </c>
      <c r="S84" s="10">
        <f t="shared" si="42"/>
        <v>0</v>
      </c>
      <c r="T84" s="10">
        <f t="shared" si="53"/>
        <v>0</v>
      </c>
      <c r="U84" s="10">
        <f t="shared" si="54"/>
        <v>0</v>
      </c>
      <c r="V84" s="10">
        <f t="shared" si="55"/>
        <v>0</v>
      </c>
      <c r="W84" s="11" t="e">
        <f t="shared" si="43"/>
        <v>#DIV/0!</v>
      </c>
      <c r="X84" s="11">
        <f t="shared" si="44"/>
        <v>0</v>
      </c>
      <c r="Y84" s="83">
        <f t="shared" si="45"/>
        <v>0</v>
      </c>
      <c r="Z84" s="10">
        <f t="shared" si="46"/>
        <v>0</v>
      </c>
      <c r="AA84" s="11" t="e">
        <f t="shared" si="47"/>
        <v>#DIV/0!</v>
      </c>
      <c r="AB84" s="11" t="e">
        <f t="shared" si="48"/>
        <v>#DIV/0!</v>
      </c>
      <c r="AC84" s="11" t="e">
        <f t="shared" si="56"/>
        <v>#DIV/0!</v>
      </c>
      <c r="AD84" s="11" t="e">
        <f t="shared" si="57"/>
        <v>#DIV/0!</v>
      </c>
      <c r="AE84" s="20"/>
    </row>
    <row r="85" spans="1:33" x14ac:dyDescent="0.25">
      <c r="A85" s="272"/>
      <c r="B85" s="122"/>
      <c r="C85" s="120" t="s">
        <v>914</v>
      </c>
      <c r="D85" s="275" t="str">
        <f>'Step 3 - WZ Analysis'!D56:F56</f>
        <v>&gt; 11.5</v>
      </c>
      <c r="E85" s="275"/>
      <c r="F85" s="275"/>
      <c r="G85">
        <f>VLOOKUP(D85,'Reference Sheet'!$V$2:$W$4,2)</f>
        <v>1</v>
      </c>
      <c r="H85" s="88">
        <v>5</v>
      </c>
      <c r="I85" s="78">
        <v>0.20833333333333301</v>
      </c>
      <c r="J85" s="79">
        <v>5</v>
      </c>
      <c r="K85" s="6">
        <f>'Step 2 - Facility Data Inputs'!G28</f>
        <v>0</v>
      </c>
      <c r="L85" s="179">
        <f t="shared" si="38"/>
        <v>0</v>
      </c>
      <c r="M85" s="72">
        <f t="shared" si="51"/>
        <v>0</v>
      </c>
      <c r="N85" s="72">
        <f t="shared" si="58"/>
        <v>0</v>
      </c>
      <c r="O85" s="72">
        <f t="shared" si="52"/>
        <v>0</v>
      </c>
      <c r="P85" s="83" t="e">
        <f t="shared" si="39"/>
        <v>#DIV/0!</v>
      </c>
      <c r="Q85" s="83" t="e">
        <f t="shared" si="40"/>
        <v>#DIV/0!</v>
      </c>
      <c r="R85" s="83" t="e">
        <f t="shared" si="41"/>
        <v>#DIV/0!</v>
      </c>
      <c r="S85" s="10">
        <f t="shared" si="42"/>
        <v>0</v>
      </c>
      <c r="T85" s="10">
        <f t="shared" si="53"/>
        <v>0</v>
      </c>
      <c r="U85" s="10">
        <f t="shared" si="54"/>
        <v>0</v>
      </c>
      <c r="V85" s="10">
        <f t="shared" si="55"/>
        <v>0</v>
      </c>
      <c r="W85" s="11" t="e">
        <f t="shared" si="43"/>
        <v>#DIV/0!</v>
      </c>
      <c r="X85" s="11">
        <f t="shared" si="44"/>
        <v>0</v>
      </c>
      <c r="Y85" s="83">
        <f t="shared" si="45"/>
        <v>0</v>
      </c>
      <c r="Z85" s="10">
        <f t="shared" si="46"/>
        <v>0</v>
      </c>
      <c r="AA85" s="11" t="e">
        <f t="shared" si="47"/>
        <v>#DIV/0!</v>
      </c>
      <c r="AB85" s="11" t="e">
        <f t="shared" si="48"/>
        <v>#DIV/0!</v>
      </c>
      <c r="AC85" s="11" t="e">
        <f t="shared" si="56"/>
        <v>#DIV/0!</v>
      </c>
      <c r="AD85" s="11" t="e">
        <f t="shared" si="57"/>
        <v>#DIV/0!</v>
      </c>
      <c r="AE85" s="20"/>
    </row>
    <row r="86" spans="1:33" ht="14.25" customHeight="1" x14ac:dyDescent="0.25">
      <c r="A86" s="272"/>
      <c r="B86" s="122"/>
      <c r="C86" s="120" t="s">
        <v>915</v>
      </c>
      <c r="D86" s="275">
        <f>'Step 3 - WZ Analysis'!D57:F57</f>
        <v>0</v>
      </c>
      <c r="E86" s="275"/>
      <c r="F86" s="275"/>
      <c r="H86" s="88">
        <v>6</v>
      </c>
      <c r="I86" s="78">
        <v>0.25</v>
      </c>
      <c r="J86" s="79">
        <v>6</v>
      </c>
      <c r="K86" s="6">
        <f>'Step 2 - Facility Data Inputs'!G29</f>
        <v>0</v>
      </c>
      <c r="L86" s="179">
        <f t="shared" si="38"/>
        <v>0</v>
      </c>
      <c r="M86" s="72">
        <f t="shared" si="51"/>
        <v>0</v>
      </c>
      <c r="N86" s="72">
        <f t="shared" si="58"/>
        <v>0</v>
      </c>
      <c r="O86" s="72">
        <f t="shared" si="52"/>
        <v>0</v>
      </c>
      <c r="P86" s="83" t="e">
        <f t="shared" si="39"/>
        <v>#DIV/0!</v>
      </c>
      <c r="Q86" s="83" t="e">
        <f t="shared" si="40"/>
        <v>#DIV/0!</v>
      </c>
      <c r="R86" s="83" t="e">
        <f t="shared" si="41"/>
        <v>#DIV/0!</v>
      </c>
      <c r="S86" s="10">
        <f t="shared" si="42"/>
        <v>0</v>
      </c>
      <c r="T86" s="10">
        <f t="shared" si="53"/>
        <v>0</v>
      </c>
      <c r="U86" s="10">
        <f t="shared" si="54"/>
        <v>0</v>
      </c>
      <c r="V86" s="10">
        <f t="shared" si="55"/>
        <v>0</v>
      </c>
      <c r="W86" s="11" t="e">
        <f t="shared" si="43"/>
        <v>#DIV/0!</v>
      </c>
      <c r="X86" s="11">
        <f t="shared" si="44"/>
        <v>0</v>
      </c>
      <c r="Y86" s="83">
        <f t="shared" si="45"/>
        <v>0</v>
      </c>
      <c r="Z86" s="10">
        <f>V86-O86</f>
        <v>0</v>
      </c>
      <c r="AA86" s="11" t="e">
        <f t="shared" si="47"/>
        <v>#DIV/0!</v>
      </c>
      <c r="AB86" s="11" t="e">
        <f t="shared" si="48"/>
        <v>#DIV/0!</v>
      </c>
      <c r="AC86" s="11" t="e">
        <f t="shared" si="56"/>
        <v>#DIV/0!</v>
      </c>
      <c r="AD86" s="11" t="e">
        <f t="shared" si="57"/>
        <v>#DIV/0!</v>
      </c>
      <c r="AE86" s="20"/>
      <c r="AF86" s="4" t="s">
        <v>57</v>
      </c>
      <c r="AG86" s="3">
        <f>MAX(X80:X103)</f>
        <v>0</v>
      </c>
    </row>
    <row r="87" spans="1:33" ht="76.5" customHeight="1" x14ac:dyDescent="0.25">
      <c r="A87" s="272"/>
      <c r="B87" s="122"/>
      <c r="C87" s="121" t="s">
        <v>917</v>
      </c>
      <c r="D87" s="178">
        <f>IF(G84=538,D80,IF(VLOOKUP((G84+G85),'HCM 2010 Program'!$C$3:$H$20,6)&gt;(D80),D80,VLOOKUP((G84+G85),'HCM 2010 Program'!$C$3:$H$20,6)))</f>
        <v>1900</v>
      </c>
      <c r="E87" s="55" t="s">
        <v>922</v>
      </c>
      <c r="F87" s="168">
        <f>MIN((D87*D86),F80)</f>
        <v>0</v>
      </c>
      <c r="G87" s="55" t="s">
        <v>925</v>
      </c>
      <c r="H87" s="88">
        <v>7</v>
      </c>
      <c r="I87" s="78">
        <v>0.29166666666666702</v>
      </c>
      <c r="J87" s="79">
        <v>7</v>
      </c>
      <c r="K87" s="6">
        <f>'Step 2 - Facility Data Inputs'!G30</f>
        <v>0</v>
      </c>
      <c r="L87" s="179">
        <f t="shared" si="38"/>
        <v>0</v>
      </c>
      <c r="M87" s="72">
        <f t="shared" si="51"/>
        <v>0</v>
      </c>
      <c r="N87" s="72">
        <f t="shared" si="58"/>
        <v>0</v>
      </c>
      <c r="O87" s="72">
        <f t="shared" si="52"/>
        <v>0</v>
      </c>
      <c r="P87" s="83" t="e">
        <f t="shared" si="39"/>
        <v>#DIV/0!</v>
      </c>
      <c r="Q87" s="83" t="e">
        <f t="shared" si="40"/>
        <v>#DIV/0!</v>
      </c>
      <c r="R87" s="83" t="e">
        <f t="shared" si="41"/>
        <v>#DIV/0!</v>
      </c>
      <c r="S87" s="10">
        <f t="shared" si="42"/>
        <v>0</v>
      </c>
      <c r="T87" s="10">
        <f t="shared" si="53"/>
        <v>0</v>
      </c>
      <c r="U87" s="10">
        <f t="shared" si="54"/>
        <v>0</v>
      </c>
      <c r="V87" s="10">
        <f t="shared" si="55"/>
        <v>0</v>
      </c>
      <c r="W87" s="11" t="e">
        <f t="shared" si="43"/>
        <v>#DIV/0!</v>
      </c>
      <c r="X87" s="11">
        <f t="shared" si="44"/>
        <v>0</v>
      </c>
      <c r="Y87" s="83">
        <f t="shared" si="45"/>
        <v>0</v>
      </c>
      <c r="Z87" s="10">
        <f t="shared" ref="Z87:Z103" si="59">V87-O87</f>
        <v>0</v>
      </c>
      <c r="AA87" s="11" t="e">
        <f t="shared" si="47"/>
        <v>#DIV/0!</v>
      </c>
      <c r="AB87" s="11" t="e">
        <f t="shared" si="48"/>
        <v>#DIV/0!</v>
      </c>
      <c r="AC87" s="11" t="e">
        <f t="shared" si="56"/>
        <v>#DIV/0!</v>
      </c>
      <c r="AD87" s="11" t="e">
        <f t="shared" si="57"/>
        <v>#DIV/0!</v>
      </c>
      <c r="AE87" s="20"/>
    </row>
    <row r="88" spans="1:33" ht="79.2" x14ac:dyDescent="0.25">
      <c r="A88" s="272"/>
      <c r="B88" s="122"/>
      <c r="C88" s="121" t="s">
        <v>916</v>
      </c>
      <c r="D88" s="124"/>
      <c r="E88" s="195">
        <f>'Step 3 - WZ Analysis'!E59</f>
        <v>0</v>
      </c>
      <c r="F88" s="123"/>
      <c r="G88" s="74" t="str">
        <f>IF('Step 3 - WZ Analysis'!E59="","",'Step 3 - WZ Analysis'!E59)</f>
        <v/>
      </c>
      <c r="H88" s="88">
        <v>8</v>
      </c>
      <c r="I88" s="78">
        <v>0.33333333333333298</v>
      </c>
      <c r="J88" s="79">
        <v>8</v>
      </c>
      <c r="K88" s="6">
        <f>'Step 2 - Facility Data Inputs'!G31</f>
        <v>0</v>
      </c>
      <c r="L88" s="179">
        <f t="shared" si="38"/>
        <v>0</v>
      </c>
      <c r="M88" s="72">
        <f t="shared" si="51"/>
        <v>0</v>
      </c>
      <c r="N88" s="72">
        <f t="shared" si="58"/>
        <v>0</v>
      </c>
      <c r="O88" s="72">
        <f t="shared" si="52"/>
        <v>0</v>
      </c>
      <c r="P88" s="83" t="e">
        <f t="shared" si="39"/>
        <v>#DIV/0!</v>
      </c>
      <c r="Q88" s="83" t="e">
        <f t="shared" si="40"/>
        <v>#DIV/0!</v>
      </c>
      <c r="R88" s="83" t="e">
        <f t="shared" si="41"/>
        <v>#DIV/0!</v>
      </c>
      <c r="S88" s="10">
        <f t="shared" si="42"/>
        <v>0</v>
      </c>
      <c r="T88" s="10">
        <f t="shared" si="53"/>
        <v>0</v>
      </c>
      <c r="U88" s="10">
        <f t="shared" si="54"/>
        <v>0</v>
      </c>
      <c r="V88" s="10">
        <f t="shared" si="55"/>
        <v>0</v>
      </c>
      <c r="W88" s="11" t="e">
        <f t="shared" si="43"/>
        <v>#DIV/0!</v>
      </c>
      <c r="X88" s="11">
        <f t="shared" si="44"/>
        <v>0</v>
      </c>
      <c r="Y88" s="83">
        <f t="shared" si="45"/>
        <v>0</v>
      </c>
      <c r="Z88" s="10">
        <f t="shared" si="59"/>
        <v>0</v>
      </c>
      <c r="AA88" s="11" t="e">
        <f t="shared" si="47"/>
        <v>#DIV/0!</v>
      </c>
      <c r="AB88" s="11" t="e">
        <f t="shared" si="48"/>
        <v>#DIV/0!</v>
      </c>
      <c r="AC88" s="11" t="e">
        <f t="shared" si="56"/>
        <v>#DIV/0!</v>
      </c>
      <c r="AD88" s="11" t="e">
        <f t="shared" si="57"/>
        <v>#DIV/0!</v>
      </c>
      <c r="AE88" s="20"/>
      <c r="AF88" s="4" t="s">
        <v>58</v>
      </c>
      <c r="AG88" s="3" t="e">
        <f>(SUM(V80:V103)/T103)*60</f>
        <v>#DIV/0!</v>
      </c>
    </row>
    <row r="89" spans="1:33" x14ac:dyDescent="0.25">
      <c r="A89" s="272"/>
      <c r="B89" s="122"/>
      <c r="C89" s="114" t="s">
        <v>900</v>
      </c>
      <c r="D89" s="276">
        <f>'Step 3 - WZ Analysis'!D60</f>
        <v>0</v>
      </c>
      <c r="E89" s="276"/>
      <c r="F89" s="276"/>
      <c r="G89" s="173">
        <f>VLOOKUP(D89,'WZ Analysis (Worksheet)'!$I$22:$J$45,2)</f>
        <v>0</v>
      </c>
      <c r="H89" s="88">
        <v>9</v>
      </c>
      <c r="I89" s="78">
        <v>0.375</v>
      </c>
      <c r="J89" s="79">
        <v>9</v>
      </c>
      <c r="K89" s="6">
        <f>'Step 2 - Facility Data Inputs'!G32</f>
        <v>0</v>
      </c>
      <c r="L89" s="179">
        <f t="shared" si="38"/>
        <v>0</v>
      </c>
      <c r="M89" s="72">
        <f t="shared" si="51"/>
        <v>0</v>
      </c>
      <c r="N89" s="72">
        <f t="shared" si="58"/>
        <v>0</v>
      </c>
      <c r="O89" s="72">
        <f t="shared" si="52"/>
        <v>0</v>
      </c>
      <c r="P89" s="83" t="e">
        <f t="shared" si="39"/>
        <v>#DIV/0!</v>
      </c>
      <c r="Q89" s="83" t="e">
        <f t="shared" si="40"/>
        <v>#DIV/0!</v>
      </c>
      <c r="R89" s="83" t="e">
        <f t="shared" si="41"/>
        <v>#DIV/0!</v>
      </c>
      <c r="S89" s="10">
        <f t="shared" si="42"/>
        <v>0</v>
      </c>
      <c r="T89" s="10">
        <f t="shared" si="53"/>
        <v>0</v>
      </c>
      <c r="U89" s="10">
        <f t="shared" si="54"/>
        <v>0</v>
      </c>
      <c r="V89" s="10">
        <f t="shared" si="55"/>
        <v>0</v>
      </c>
      <c r="W89" s="11" t="e">
        <f t="shared" si="43"/>
        <v>#DIV/0!</v>
      </c>
      <c r="X89" s="11">
        <f t="shared" si="44"/>
        <v>0</v>
      </c>
      <c r="Y89" s="83">
        <f t="shared" si="45"/>
        <v>0</v>
      </c>
      <c r="Z89" s="10">
        <f t="shared" si="59"/>
        <v>0</v>
      </c>
      <c r="AA89" s="11" t="e">
        <f t="shared" si="47"/>
        <v>#DIV/0!</v>
      </c>
      <c r="AB89" s="11" t="e">
        <f t="shared" si="48"/>
        <v>#DIV/0!</v>
      </c>
      <c r="AC89" s="11" t="e">
        <f t="shared" si="56"/>
        <v>#DIV/0!</v>
      </c>
      <c r="AD89" s="11" t="e">
        <f t="shared" si="57"/>
        <v>#DIV/0!</v>
      </c>
      <c r="AE89" s="20"/>
    </row>
    <row r="90" spans="1:33" x14ac:dyDescent="0.25">
      <c r="A90" s="272"/>
      <c r="B90" s="122"/>
      <c r="C90" s="114" t="s">
        <v>901</v>
      </c>
      <c r="D90" s="276">
        <f>'Step 3 - WZ Analysis'!D61</f>
        <v>0</v>
      </c>
      <c r="E90" s="276"/>
      <c r="F90" s="276"/>
      <c r="G90" s="173">
        <f>VLOOKUP(D90,'WZ Analysis (Worksheet)'!$I$22:$J$45,2)</f>
        <v>0</v>
      </c>
      <c r="H90" s="88">
        <v>10</v>
      </c>
      <c r="I90" s="78">
        <v>0.41666666666666702</v>
      </c>
      <c r="J90" s="79">
        <v>10</v>
      </c>
      <c r="K90" s="6">
        <f>'Step 2 - Facility Data Inputs'!G33</f>
        <v>0</v>
      </c>
      <c r="L90" s="179">
        <f t="shared" si="38"/>
        <v>0</v>
      </c>
      <c r="M90" s="72">
        <f t="shared" si="51"/>
        <v>0</v>
      </c>
      <c r="N90" s="72">
        <f t="shared" si="58"/>
        <v>0</v>
      </c>
      <c r="O90" s="72">
        <f t="shared" si="52"/>
        <v>0</v>
      </c>
      <c r="P90" s="83" t="e">
        <f t="shared" si="39"/>
        <v>#DIV/0!</v>
      </c>
      <c r="Q90" s="83" t="e">
        <f t="shared" si="40"/>
        <v>#DIV/0!</v>
      </c>
      <c r="R90" s="83" t="e">
        <f t="shared" si="41"/>
        <v>#DIV/0!</v>
      </c>
      <c r="S90" s="10">
        <f t="shared" si="42"/>
        <v>0</v>
      </c>
      <c r="T90" s="10">
        <f t="shared" si="53"/>
        <v>0</v>
      </c>
      <c r="U90" s="10">
        <f t="shared" si="54"/>
        <v>0</v>
      </c>
      <c r="V90" s="10">
        <f t="shared" si="55"/>
        <v>0</v>
      </c>
      <c r="W90" s="11" t="e">
        <f t="shared" si="43"/>
        <v>#DIV/0!</v>
      </c>
      <c r="X90" s="11">
        <f t="shared" si="44"/>
        <v>0</v>
      </c>
      <c r="Y90" s="83">
        <f t="shared" si="45"/>
        <v>0</v>
      </c>
      <c r="Z90" s="10">
        <f t="shared" si="59"/>
        <v>0</v>
      </c>
      <c r="AA90" s="11" t="e">
        <f t="shared" si="47"/>
        <v>#DIV/0!</v>
      </c>
      <c r="AB90" s="11" t="e">
        <f t="shared" si="48"/>
        <v>#DIV/0!</v>
      </c>
      <c r="AC90" s="11" t="e">
        <f t="shared" si="56"/>
        <v>#DIV/0!</v>
      </c>
      <c r="AD90" s="11" t="e">
        <f t="shared" si="57"/>
        <v>#DIV/0!</v>
      </c>
      <c r="AE90" s="20"/>
      <c r="AF90" s="4" t="s">
        <v>17</v>
      </c>
      <c r="AG90" s="18">
        <f>Z104</f>
        <v>0</v>
      </c>
    </row>
    <row r="91" spans="1:33" x14ac:dyDescent="0.25">
      <c r="A91" s="272"/>
      <c r="B91" s="122"/>
      <c r="C91" s="114" t="s">
        <v>902</v>
      </c>
      <c r="D91" s="261">
        <f>'Step 3 - WZ Analysis'!D62:F62</f>
        <v>0</v>
      </c>
      <c r="E91" s="261"/>
      <c r="F91" s="261"/>
      <c r="H91" s="88">
        <v>11</v>
      </c>
      <c r="I91" s="78">
        <v>0.45833333333333298</v>
      </c>
      <c r="J91" s="79">
        <v>11</v>
      </c>
      <c r="K91" s="6">
        <f>'Step 2 - Facility Data Inputs'!G34</f>
        <v>0</v>
      </c>
      <c r="L91" s="179">
        <f t="shared" si="38"/>
        <v>0</v>
      </c>
      <c r="M91" s="72">
        <f t="shared" si="51"/>
        <v>0</v>
      </c>
      <c r="N91" s="72">
        <f t="shared" si="58"/>
        <v>0</v>
      </c>
      <c r="O91" s="72">
        <f t="shared" si="52"/>
        <v>0</v>
      </c>
      <c r="P91" s="83" t="e">
        <f t="shared" si="39"/>
        <v>#DIV/0!</v>
      </c>
      <c r="Q91" s="83" t="e">
        <f t="shared" si="40"/>
        <v>#DIV/0!</v>
      </c>
      <c r="R91" s="83" t="e">
        <f t="shared" si="41"/>
        <v>#DIV/0!</v>
      </c>
      <c r="S91" s="10">
        <f t="shared" si="42"/>
        <v>0</v>
      </c>
      <c r="T91" s="10">
        <f t="shared" si="53"/>
        <v>0</v>
      </c>
      <c r="U91" s="10">
        <f t="shared" si="54"/>
        <v>0</v>
      </c>
      <c r="V91" s="10">
        <f t="shared" si="55"/>
        <v>0</v>
      </c>
      <c r="W91" s="11" t="e">
        <f t="shared" si="43"/>
        <v>#DIV/0!</v>
      </c>
      <c r="X91" s="11">
        <f t="shared" si="44"/>
        <v>0</v>
      </c>
      <c r="Y91" s="83">
        <f t="shared" si="45"/>
        <v>0</v>
      </c>
      <c r="Z91" s="10">
        <f t="shared" si="59"/>
        <v>0</v>
      </c>
      <c r="AA91" s="11" t="e">
        <f t="shared" si="47"/>
        <v>#DIV/0!</v>
      </c>
      <c r="AB91" s="11" t="e">
        <f t="shared" si="48"/>
        <v>#DIV/0!</v>
      </c>
      <c r="AC91" s="11" t="e">
        <f t="shared" si="56"/>
        <v>#DIV/0!</v>
      </c>
      <c r="AD91" s="11" t="e">
        <f t="shared" si="57"/>
        <v>#DIV/0!</v>
      </c>
      <c r="AE91" s="20"/>
    </row>
    <row r="92" spans="1:33" x14ac:dyDescent="0.25">
      <c r="A92" s="272"/>
      <c r="B92" s="122"/>
      <c r="C92" s="117"/>
      <c r="D92" s="2"/>
      <c r="E92" s="2"/>
      <c r="F92" s="38"/>
      <c r="H92" s="88">
        <v>12</v>
      </c>
      <c r="I92" s="78">
        <v>0.5</v>
      </c>
      <c r="J92" s="79">
        <v>12</v>
      </c>
      <c r="K92" s="6">
        <f>'Step 2 - Facility Data Inputs'!G35</f>
        <v>0</v>
      </c>
      <c r="L92" s="179">
        <f t="shared" si="38"/>
        <v>0</v>
      </c>
      <c r="M92" s="72">
        <f t="shared" si="51"/>
        <v>0</v>
      </c>
      <c r="N92" s="72">
        <f t="shared" si="58"/>
        <v>0</v>
      </c>
      <c r="O92" s="72">
        <f t="shared" si="52"/>
        <v>0</v>
      </c>
      <c r="P92" s="83" t="e">
        <f t="shared" si="39"/>
        <v>#DIV/0!</v>
      </c>
      <c r="Q92" s="83" t="e">
        <f t="shared" si="40"/>
        <v>#DIV/0!</v>
      </c>
      <c r="R92" s="83" t="e">
        <f t="shared" si="41"/>
        <v>#DIV/0!</v>
      </c>
      <c r="S92" s="10">
        <f t="shared" si="42"/>
        <v>0</v>
      </c>
      <c r="T92" s="10">
        <f t="shared" si="53"/>
        <v>0</v>
      </c>
      <c r="U92" s="10">
        <f t="shared" si="54"/>
        <v>0</v>
      </c>
      <c r="V92" s="10">
        <f t="shared" si="55"/>
        <v>0</v>
      </c>
      <c r="W92" s="11" t="e">
        <f t="shared" si="43"/>
        <v>#DIV/0!</v>
      </c>
      <c r="X92" s="11">
        <f t="shared" si="44"/>
        <v>0</v>
      </c>
      <c r="Y92" s="83">
        <f t="shared" si="45"/>
        <v>0</v>
      </c>
      <c r="Z92" s="10">
        <f t="shared" si="59"/>
        <v>0</v>
      </c>
      <c r="AA92" s="11" t="e">
        <f t="shared" si="47"/>
        <v>#DIV/0!</v>
      </c>
      <c r="AB92" s="11" t="e">
        <f t="shared" si="48"/>
        <v>#DIV/0!</v>
      </c>
      <c r="AC92" s="11" t="e">
        <f t="shared" si="56"/>
        <v>#DIV/0!</v>
      </c>
      <c r="AD92" s="11" t="e">
        <f t="shared" si="57"/>
        <v>#DIV/0!</v>
      </c>
      <c r="AE92" s="20"/>
      <c r="AF92" s="4" t="s">
        <v>59</v>
      </c>
      <c r="AG92" s="3" t="e">
        <f>W104</f>
        <v>#DIV/0!</v>
      </c>
    </row>
    <row r="93" spans="1:33" ht="13.8" x14ac:dyDescent="0.25">
      <c r="A93" s="272"/>
      <c r="B93" s="122"/>
      <c r="C93" s="164" t="s">
        <v>896</v>
      </c>
      <c r="D93" s="2"/>
      <c r="E93" s="2"/>
      <c r="F93" s="38"/>
      <c r="H93" s="88">
        <v>13</v>
      </c>
      <c r="I93" s="78">
        <v>0.54166666666666696</v>
      </c>
      <c r="J93" s="79">
        <v>13</v>
      </c>
      <c r="K93" s="6">
        <f>'Step 2 - Facility Data Inputs'!G36</f>
        <v>0</v>
      </c>
      <c r="L93" s="179">
        <f t="shared" si="38"/>
        <v>0</v>
      </c>
      <c r="M93" s="72">
        <f t="shared" si="51"/>
        <v>0</v>
      </c>
      <c r="N93" s="72">
        <f t="shared" si="58"/>
        <v>0</v>
      </c>
      <c r="O93" s="72">
        <f t="shared" si="52"/>
        <v>0</v>
      </c>
      <c r="P93" s="83" t="e">
        <f t="shared" si="39"/>
        <v>#DIV/0!</v>
      </c>
      <c r="Q93" s="83" t="e">
        <f t="shared" si="40"/>
        <v>#DIV/0!</v>
      </c>
      <c r="R93" s="83" t="e">
        <f t="shared" si="41"/>
        <v>#DIV/0!</v>
      </c>
      <c r="S93" s="10">
        <f t="shared" si="42"/>
        <v>0</v>
      </c>
      <c r="T93" s="10">
        <f t="shared" si="53"/>
        <v>0</v>
      </c>
      <c r="U93" s="10">
        <f t="shared" si="54"/>
        <v>0</v>
      </c>
      <c r="V93" s="10">
        <f t="shared" si="55"/>
        <v>0</v>
      </c>
      <c r="W93" s="11" t="e">
        <f t="shared" si="43"/>
        <v>#DIV/0!</v>
      </c>
      <c r="X93" s="11">
        <f t="shared" si="44"/>
        <v>0</v>
      </c>
      <c r="Y93" s="83">
        <f t="shared" si="45"/>
        <v>0</v>
      </c>
      <c r="Z93" s="10">
        <f t="shared" si="59"/>
        <v>0</v>
      </c>
      <c r="AA93" s="11" t="e">
        <f t="shared" si="47"/>
        <v>#DIV/0!</v>
      </c>
      <c r="AB93" s="11" t="e">
        <f t="shared" si="48"/>
        <v>#DIV/0!</v>
      </c>
      <c r="AC93" s="11" t="e">
        <f t="shared" si="56"/>
        <v>#DIV/0!</v>
      </c>
      <c r="AD93" s="11" t="e">
        <f t="shared" si="57"/>
        <v>#DIV/0!</v>
      </c>
      <c r="AE93" s="20"/>
    </row>
    <row r="94" spans="1:33" x14ac:dyDescent="0.25">
      <c r="A94" s="272"/>
      <c r="B94" s="122"/>
      <c r="C94" s="114" t="s">
        <v>899</v>
      </c>
      <c r="D94" s="118" t="s">
        <v>895</v>
      </c>
      <c r="E94" s="118" t="s">
        <v>898</v>
      </c>
      <c r="F94" s="119" t="s">
        <v>897</v>
      </c>
      <c r="H94" s="88">
        <v>14</v>
      </c>
      <c r="I94" s="78">
        <v>0.58333333333333304</v>
      </c>
      <c r="J94" s="79">
        <v>14</v>
      </c>
      <c r="K94" s="6">
        <f>'Step 2 - Facility Data Inputs'!G37</f>
        <v>0</v>
      </c>
      <c r="L94" s="179">
        <f t="shared" si="38"/>
        <v>0</v>
      </c>
      <c r="M94" s="72">
        <f t="shared" si="51"/>
        <v>0</v>
      </c>
      <c r="N94" s="72">
        <f t="shared" si="58"/>
        <v>0</v>
      </c>
      <c r="O94" s="72">
        <f t="shared" si="52"/>
        <v>0</v>
      </c>
      <c r="P94" s="83" t="e">
        <f t="shared" si="39"/>
        <v>#DIV/0!</v>
      </c>
      <c r="Q94" s="83" t="e">
        <f t="shared" si="40"/>
        <v>#DIV/0!</v>
      </c>
      <c r="R94" s="83" t="e">
        <f t="shared" si="41"/>
        <v>#DIV/0!</v>
      </c>
      <c r="S94" s="10">
        <f t="shared" si="42"/>
        <v>0</v>
      </c>
      <c r="T94" s="10">
        <f t="shared" si="53"/>
        <v>0</v>
      </c>
      <c r="U94" s="10">
        <f t="shared" si="54"/>
        <v>0</v>
      </c>
      <c r="V94" s="10">
        <f t="shared" si="55"/>
        <v>0</v>
      </c>
      <c r="W94" s="11" t="e">
        <f t="shared" si="43"/>
        <v>#DIV/0!</v>
      </c>
      <c r="X94" s="11">
        <f t="shared" si="44"/>
        <v>0</v>
      </c>
      <c r="Y94" s="83">
        <f t="shared" si="45"/>
        <v>0</v>
      </c>
      <c r="Z94" s="10">
        <f t="shared" si="59"/>
        <v>0</v>
      </c>
      <c r="AA94" s="11" t="e">
        <f t="shared" si="47"/>
        <v>#DIV/0!</v>
      </c>
      <c r="AB94" s="11" t="e">
        <f t="shared" si="48"/>
        <v>#DIV/0!</v>
      </c>
      <c r="AC94" s="11" t="e">
        <f t="shared" si="56"/>
        <v>#DIV/0!</v>
      </c>
      <c r="AD94" s="11" t="e">
        <f t="shared" si="57"/>
        <v>#DIV/0!</v>
      </c>
      <c r="AE94" s="20"/>
    </row>
    <row r="95" spans="1:33" x14ac:dyDescent="0.25">
      <c r="A95" s="272"/>
      <c r="B95" s="122"/>
      <c r="C95" s="114" t="s">
        <v>903</v>
      </c>
      <c r="D95" s="112" t="e">
        <f>P104</f>
        <v>#DIV/0!</v>
      </c>
      <c r="E95" s="112" t="e">
        <f>AA104</f>
        <v>#DIV/0!</v>
      </c>
      <c r="F95" s="112" t="e">
        <f>W104</f>
        <v>#DIV/0!</v>
      </c>
      <c r="H95" s="88">
        <v>15</v>
      </c>
      <c r="I95" s="78">
        <v>0.625</v>
      </c>
      <c r="J95" s="79">
        <v>15</v>
      </c>
      <c r="K95" s="6">
        <f>'Step 2 - Facility Data Inputs'!G38</f>
        <v>0</v>
      </c>
      <c r="L95" s="179">
        <f t="shared" si="38"/>
        <v>0</v>
      </c>
      <c r="M95" s="72">
        <f t="shared" si="51"/>
        <v>0</v>
      </c>
      <c r="N95" s="72">
        <f t="shared" si="58"/>
        <v>0</v>
      </c>
      <c r="O95" s="72">
        <f t="shared" si="52"/>
        <v>0</v>
      </c>
      <c r="P95" s="83" t="e">
        <f t="shared" si="39"/>
        <v>#DIV/0!</v>
      </c>
      <c r="Q95" s="83" t="e">
        <f t="shared" si="40"/>
        <v>#DIV/0!</v>
      </c>
      <c r="R95" s="83" t="e">
        <f t="shared" si="41"/>
        <v>#DIV/0!</v>
      </c>
      <c r="S95" s="10">
        <f t="shared" si="42"/>
        <v>0</v>
      </c>
      <c r="T95" s="10">
        <f t="shared" si="53"/>
        <v>0</v>
      </c>
      <c r="U95" s="10">
        <f t="shared" si="54"/>
        <v>0</v>
      </c>
      <c r="V95" s="10">
        <f t="shared" si="55"/>
        <v>0</v>
      </c>
      <c r="W95" s="11" t="e">
        <f t="shared" si="43"/>
        <v>#DIV/0!</v>
      </c>
      <c r="X95" s="11">
        <f t="shared" si="44"/>
        <v>0</v>
      </c>
      <c r="Y95" s="83">
        <f t="shared" si="45"/>
        <v>0</v>
      </c>
      <c r="Z95" s="10">
        <f t="shared" si="59"/>
        <v>0</v>
      </c>
      <c r="AA95" s="11" t="e">
        <f t="shared" si="47"/>
        <v>#DIV/0!</v>
      </c>
      <c r="AB95" s="11" t="e">
        <f t="shared" si="48"/>
        <v>#DIV/0!</v>
      </c>
      <c r="AC95" s="11" t="e">
        <f t="shared" si="56"/>
        <v>#DIV/0!</v>
      </c>
      <c r="AD95" s="11" t="e">
        <f t="shared" si="57"/>
        <v>#DIV/0!</v>
      </c>
      <c r="AE95" s="20"/>
    </row>
    <row r="96" spans="1:33" x14ac:dyDescent="0.25">
      <c r="A96" s="272"/>
      <c r="B96" s="122"/>
      <c r="C96" s="114" t="s">
        <v>904</v>
      </c>
      <c r="D96" s="113" t="e">
        <f>Q104</f>
        <v>#DIV/0!</v>
      </c>
      <c r="E96" s="113" t="e">
        <f>AB104</f>
        <v>#DIV/0!</v>
      </c>
      <c r="F96" s="113">
        <f>X104</f>
        <v>0</v>
      </c>
      <c r="H96" s="88">
        <v>16</v>
      </c>
      <c r="I96" s="78">
        <v>0.66666666666666696</v>
      </c>
      <c r="J96" s="79">
        <v>16</v>
      </c>
      <c r="K96" s="6">
        <f>'Step 2 - Facility Data Inputs'!G39</f>
        <v>0</v>
      </c>
      <c r="L96" s="179">
        <f t="shared" si="38"/>
        <v>0</v>
      </c>
      <c r="M96" s="72">
        <f t="shared" si="51"/>
        <v>0</v>
      </c>
      <c r="N96" s="72">
        <f t="shared" si="58"/>
        <v>0</v>
      </c>
      <c r="O96" s="72">
        <f t="shared" si="52"/>
        <v>0</v>
      </c>
      <c r="P96" s="83" t="e">
        <f t="shared" si="39"/>
        <v>#DIV/0!</v>
      </c>
      <c r="Q96" s="83" t="e">
        <f t="shared" si="40"/>
        <v>#DIV/0!</v>
      </c>
      <c r="R96" s="83" t="e">
        <f t="shared" si="41"/>
        <v>#DIV/0!</v>
      </c>
      <c r="S96" s="10">
        <f t="shared" si="42"/>
        <v>0</v>
      </c>
      <c r="T96" s="10">
        <f t="shared" si="53"/>
        <v>0</v>
      </c>
      <c r="U96" s="10">
        <f t="shared" si="54"/>
        <v>0</v>
      </c>
      <c r="V96" s="10">
        <f t="shared" si="55"/>
        <v>0</v>
      </c>
      <c r="W96" s="11" t="e">
        <f t="shared" si="43"/>
        <v>#DIV/0!</v>
      </c>
      <c r="X96" s="11">
        <f t="shared" si="44"/>
        <v>0</v>
      </c>
      <c r="Y96" s="83">
        <f t="shared" si="45"/>
        <v>0</v>
      </c>
      <c r="Z96" s="10">
        <f t="shared" si="59"/>
        <v>0</v>
      </c>
      <c r="AA96" s="11" t="e">
        <f t="shared" si="47"/>
        <v>#DIV/0!</v>
      </c>
      <c r="AB96" s="11" t="e">
        <f t="shared" si="48"/>
        <v>#DIV/0!</v>
      </c>
      <c r="AC96" s="11" t="e">
        <f t="shared" si="56"/>
        <v>#DIV/0!</v>
      </c>
      <c r="AD96" s="11" t="e">
        <f t="shared" si="57"/>
        <v>#DIV/0!</v>
      </c>
      <c r="AE96" s="20"/>
    </row>
    <row r="97" spans="1:33" x14ac:dyDescent="0.25">
      <c r="A97" s="272"/>
      <c r="B97" s="122"/>
      <c r="C97" s="114" t="s">
        <v>905</v>
      </c>
      <c r="D97" s="115" t="e">
        <f>R105</f>
        <v>#DIV/0!</v>
      </c>
      <c r="E97" s="115" t="e">
        <f>AD105</f>
        <v>#DIV/0!</v>
      </c>
      <c r="F97" s="115" t="e">
        <f>Y105</f>
        <v>#DIV/0!</v>
      </c>
      <c r="H97" s="88">
        <v>17</v>
      </c>
      <c r="I97" s="78">
        <v>0.70833333333333304</v>
      </c>
      <c r="J97" s="79">
        <v>17</v>
      </c>
      <c r="K97" s="6">
        <f>'Step 2 - Facility Data Inputs'!G40</f>
        <v>0</v>
      </c>
      <c r="L97" s="179">
        <f t="shared" si="38"/>
        <v>0</v>
      </c>
      <c r="M97" s="72">
        <f t="shared" si="51"/>
        <v>0</v>
      </c>
      <c r="N97" s="72">
        <f t="shared" si="58"/>
        <v>0</v>
      </c>
      <c r="O97" s="72">
        <f t="shared" si="52"/>
        <v>0</v>
      </c>
      <c r="P97" s="83" t="e">
        <f t="shared" si="39"/>
        <v>#DIV/0!</v>
      </c>
      <c r="Q97" s="83" t="e">
        <f t="shared" si="40"/>
        <v>#DIV/0!</v>
      </c>
      <c r="R97" s="83" t="e">
        <f t="shared" si="41"/>
        <v>#DIV/0!</v>
      </c>
      <c r="S97" s="10">
        <f t="shared" si="42"/>
        <v>0</v>
      </c>
      <c r="T97" s="10">
        <f t="shared" si="53"/>
        <v>0</v>
      </c>
      <c r="U97" s="10">
        <f t="shared" si="54"/>
        <v>0</v>
      </c>
      <c r="V97" s="10">
        <f t="shared" si="55"/>
        <v>0</v>
      </c>
      <c r="W97" s="11" t="e">
        <f t="shared" si="43"/>
        <v>#DIV/0!</v>
      </c>
      <c r="X97" s="11">
        <f t="shared" si="44"/>
        <v>0</v>
      </c>
      <c r="Y97" s="83">
        <f t="shared" si="45"/>
        <v>0</v>
      </c>
      <c r="Z97" s="10">
        <f t="shared" si="59"/>
        <v>0</v>
      </c>
      <c r="AA97" s="11" t="e">
        <f t="shared" si="47"/>
        <v>#DIV/0!</v>
      </c>
      <c r="AB97" s="11" t="e">
        <f t="shared" si="48"/>
        <v>#DIV/0!</v>
      </c>
      <c r="AC97" s="11" t="e">
        <f t="shared" si="56"/>
        <v>#DIV/0!</v>
      </c>
      <c r="AD97" s="11" t="e">
        <f t="shared" si="57"/>
        <v>#DIV/0!</v>
      </c>
      <c r="AE97" s="20"/>
    </row>
    <row r="98" spans="1:33" ht="13.8" thickBot="1" x14ac:dyDescent="0.3">
      <c r="A98" s="273"/>
      <c r="B98" s="161"/>
      <c r="C98" s="162"/>
      <c r="D98" s="162"/>
      <c r="E98" s="162"/>
      <c r="F98" s="12"/>
      <c r="H98" s="88">
        <v>18</v>
      </c>
      <c r="I98" s="78">
        <v>0.75</v>
      </c>
      <c r="J98" s="79">
        <v>18</v>
      </c>
      <c r="K98" s="6">
        <f>'Step 2 - Facility Data Inputs'!G41</f>
        <v>0</v>
      </c>
      <c r="L98" s="179">
        <f t="shared" si="38"/>
        <v>0</v>
      </c>
      <c r="M98" s="72">
        <f t="shared" si="51"/>
        <v>0</v>
      </c>
      <c r="N98" s="72">
        <f t="shared" si="58"/>
        <v>0</v>
      </c>
      <c r="O98" s="72">
        <f t="shared" si="52"/>
        <v>0</v>
      </c>
      <c r="P98" s="83" t="e">
        <f t="shared" si="39"/>
        <v>#DIV/0!</v>
      </c>
      <c r="Q98" s="83" t="e">
        <f t="shared" si="40"/>
        <v>#DIV/0!</v>
      </c>
      <c r="R98" s="83" t="e">
        <f t="shared" si="41"/>
        <v>#DIV/0!</v>
      </c>
      <c r="S98" s="10">
        <f t="shared" si="42"/>
        <v>0</v>
      </c>
      <c r="T98" s="10">
        <f t="shared" si="53"/>
        <v>0</v>
      </c>
      <c r="U98" s="10">
        <f t="shared" si="54"/>
        <v>0</v>
      </c>
      <c r="V98" s="10">
        <f t="shared" si="55"/>
        <v>0</v>
      </c>
      <c r="W98" s="11" t="e">
        <f t="shared" si="43"/>
        <v>#DIV/0!</v>
      </c>
      <c r="X98" s="11">
        <f t="shared" si="44"/>
        <v>0</v>
      </c>
      <c r="Y98" s="83">
        <f t="shared" si="45"/>
        <v>0</v>
      </c>
      <c r="Z98" s="10">
        <f t="shared" si="59"/>
        <v>0</v>
      </c>
      <c r="AA98" s="11" t="e">
        <f t="shared" si="47"/>
        <v>#DIV/0!</v>
      </c>
      <c r="AB98" s="11" t="e">
        <f t="shared" si="48"/>
        <v>#DIV/0!</v>
      </c>
      <c r="AC98" s="11" t="e">
        <f t="shared" si="56"/>
        <v>#DIV/0!</v>
      </c>
      <c r="AD98" s="11" t="e">
        <f t="shared" si="57"/>
        <v>#DIV/0!</v>
      </c>
      <c r="AE98" s="20"/>
    </row>
    <row r="99" spans="1:33" x14ac:dyDescent="0.25">
      <c r="H99" s="88">
        <v>19</v>
      </c>
      <c r="I99" s="78">
        <v>0.79166666666666696</v>
      </c>
      <c r="J99" s="79">
        <v>19</v>
      </c>
      <c r="K99" s="6">
        <f>'Step 2 - Facility Data Inputs'!G42</f>
        <v>0</v>
      </c>
      <c r="L99" s="179">
        <f t="shared" si="38"/>
        <v>0</v>
      </c>
      <c r="M99" s="72">
        <f t="shared" si="51"/>
        <v>0</v>
      </c>
      <c r="N99" s="72">
        <f t="shared" si="58"/>
        <v>0</v>
      </c>
      <c r="O99" s="72">
        <f t="shared" si="52"/>
        <v>0</v>
      </c>
      <c r="P99" s="83" t="e">
        <f t="shared" si="39"/>
        <v>#DIV/0!</v>
      </c>
      <c r="Q99" s="83" t="e">
        <f t="shared" si="40"/>
        <v>#DIV/0!</v>
      </c>
      <c r="R99" s="83" t="e">
        <f t="shared" si="41"/>
        <v>#DIV/0!</v>
      </c>
      <c r="S99" s="10">
        <f t="shared" si="42"/>
        <v>0</v>
      </c>
      <c r="T99" s="10">
        <f t="shared" si="53"/>
        <v>0</v>
      </c>
      <c r="U99" s="10">
        <f>IF((K99&lt;S99),IF((S99-K99)&gt;V98,V98+K99+U98,S99+U98),(S99+U98))</f>
        <v>0</v>
      </c>
      <c r="V99" s="10">
        <f t="shared" si="55"/>
        <v>0</v>
      </c>
      <c r="W99" s="11" t="e">
        <f t="shared" si="43"/>
        <v>#DIV/0!</v>
      </c>
      <c r="X99" s="11">
        <f t="shared" si="44"/>
        <v>0</v>
      </c>
      <c r="Y99" s="83">
        <f t="shared" si="45"/>
        <v>0</v>
      </c>
      <c r="Z99" s="10">
        <f t="shared" si="59"/>
        <v>0</v>
      </c>
      <c r="AA99" s="11" t="e">
        <f t="shared" si="47"/>
        <v>#DIV/0!</v>
      </c>
      <c r="AB99" s="11" t="e">
        <f t="shared" si="48"/>
        <v>#DIV/0!</v>
      </c>
      <c r="AC99" s="11" t="e">
        <f t="shared" si="56"/>
        <v>#DIV/0!</v>
      </c>
      <c r="AD99" s="11" t="e">
        <f t="shared" si="57"/>
        <v>#DIV/0!</v>
      </c>
      <c r="AE99" s="20"/>
    </row>
    <row r="100" spans="1:33" x14ac:dyDescent="0.25">
      <c r="H100" s="88">
        <v>20</v>
      </c>
      <c r="I100" s="78">
        <v>0.83333333333333304</v>
      </c>
      <c r="J100" s="79">
        <v>20</v>
      </c>
      <c r="K100" s="6">
        <f>'Step 2 - Facility Data Inputs'!G43</f>
        <v>0</v>
      </c>
      <c r="L100" s="179">
        <f t="shared" si="38"/>
        <v>0</v>
      </c>
      <c r="M100" s="72">
        <f t="shared" si="51"/>
        <v>0</v>
      </c>
      <c r="N100" s="72">
        <f t="shared" si="58"/>
        <v>0</v>
      </c>
      <c r="O100" s="72">
        <f t="shared" si="52"/>
        <v>0</v>
      </c>
      <c r="P100" s="83" t="e">
        <f t="shared" si="39"/>
        <v>#DIV/0!</v>
      </c>
      <c r="Q100" s="83" t="e">
        <f t="shared" si="40"/>
        <v>#DIV/0!</v>
      </c>
      <c r="R100" s="83" t="e">
        <f t="shared" si="41"/>
        <v>#DIV/0!</v>
      </c>
      <c r="S100" s="10">
        <f t="shared" si="42"/>
        <v>0</v>
      </c>
      <c r="T100" s="10">
        <f t="shared" si="53"/>
        <v>0</v>
      </c>
      <c r="U100" s="10">
        <f t="shared" ref="U100:U103" si="60">IF((K100&lt;S100),IF((S100-K100)&gt;V99,V99+K100+U99,S100+U99),(S100+U99))</f>
        <v>0</v>
      </c>
      <c r="V100" s="10">
        <f t="shared" si="55"/>
        <v>0</v>
      </c>
      <c r="W100" s="11" t="e">
        <f t="shared" si="43"/>
        <v>#DIV/0!</v>
      </c>
      <c r="X100" s="11">
        <f t="shared" si="44"/>
        <v>0</v>
      </c>
      <c r="Y100" s="83">
        <f t="shared" si="45"/>
        <v>0</v>
      </c>
      <c r="Z100" s="10">
        <f t="shared" si="59"/>
        <v>0</v>
      </c>
      <c r="AA100" s="11" t="e">
        <f t="shared" si="47"/>
        <v>#DIV/0!</v>
      </c>
      <c r="AB100" s="11" t="e">
        <f t="shared" si="48"/>
        <v>#DIV/0!</v>
      </c>
      <c r="AC100" s="11" t="e">
        <f t="shared" si="56"/>
        <v>#DIV/0!</v>
      </c>
      <c r="AD100" s="11" t="e">
        <f t="shared" si="57"/>
        <v>#DIV/0!</v>
      </c>
      <c r="AE100" s="20"/>
    </row>
    <row r="101" spans="1:33" x14ac:dyDescent="0.25">
      <c r="H101" s="88">
        <v>21</v>
      </c>
      <c r="I101" s="78">
        <v>0.875</v>
      </c>
      <c r="J101" s="79">
        <v>21</v>
      </c>
      <c r="K101" s="6">
        <f>'Step 2 - Facility Data Inputs'!G44</f>
        <v>0</v>
      </c>
      <c r="L101" s="179">
        <f t="shared" si="38"/>
        <v>0</v>
      </c>
      <c r="M101" s="72">
        <f t="shared" si="51"/>
        <v>0</v>
      </c>
      <c r="N101" s="72">
        <f t="shared" si="58"/>
        <v>0</v>
      </c>
      <c r="O101" s="72">
        <f t="shared" si="52"/>
        <v>0</v>
      </c>
      <c r="P101" s="83" t="e">
        <f t="shared" si="39"/>
        <v>#DIV/0!</v>
      </c>
      <c r="Q101" s="83" t="e">
        <f t="shared" si="40"/>
        <v>#DIV/0!</v>
      </c>
      <c r="R101" s="83" t="e">
        <f t="shared" si="41"/>
        <v>#DIV/0!</v>
      </c>
      <c r="S101" s="10">
        <f t="shared" si="42"/>
        <v>0</v>
      </c>
      <c r="T101" s="10">
        <f t="shared" si="53"/>
        <v>0</v>
      </c>
      <c r="U101" s="10">
        <f t="shared" si="60"/>
        <v>0</v>
      </c>
      <c r="V101" s="10">
        <f t="shared" si="55"/>
        <v>0</v>
      </c>
      <c r="W101" s="11" t="e">
        <f t="shared" si="43"/>
        <v>#DIV/0!</v>
      </c>
      <c r="X101" s="11">
        <f t="shared" si="44"/>
        <v>0</v>
      </c>
      <c r="Y101" s="83">
        <f t="shared" si="45"/>
        <v>0</v>
      </c>
      <c r="Z101" s="10">
        <f t="shared" si="59"/>
        <v>0</v>
      </c>
      <c r="AA101" s="11" t="e">
        <f t="shared" si="47"/>
        <v>#DIV/0!</v>
      </c>
      <c r="AB101" s="11" t="e">
        <f t="shared" si="48"/>
        <v>#DIV/0!</v>
      </c>
      <c r="AC101" s="11" t="e">
        <f t="shared" si="56"/>
        <v>#DIV/0!</v>
      </c>
      <c r="AD101" s="11" t="e">
        <f t="shared" si="57"/>
        <v>#DIV/0!</v>
      </c>
      <c r="AE101" s="20"/>
    </row>
    <row r="102" spans="1:33" x14ac:dyDescent="0.25">
      <c r="H102" s="88">
        <v>22</v>
      </c>
      <c r="I102" s="78">
        <v>0.91666666666666696</v>
      </c>
      <c r="J102" s="79">
        <v>22</v>
      </c>
      <c r="K102" s="6">
        <f>'Step 2 - Facility Data Inputs'!G45</f>
        <v>0</v>
      </c>
      <c r="L102" s="179">
        <f t="shared" si="38"/>
        <v>0</v>
      </c>
      <c r="M102" s="72">
        <f t="shared" si="51"/>
        <v>0</v>
      </c>
      <c r="N102" s="72">
        <f t="shared" si="58"/>
        <v>0</v>
      </c>
      <c r="O102" s="72">
        <f t="shared" si="52"/>
        <v>0</v>
      </c>
      <c r="P102" s="83" t="e">
        <f t="shared" si="39"/>
        <v>#DIV/0!</v>
      </c>
      <c r="Q102" s="83" t="e">
        <f t="shared" si="40"/>
        <v>#DIV/0!</v>
      </c>
      <c r="R102" s="83" t="e">
        <f t="shared" si="41"/>
        <v>#DIV/0!</v>
      </c>
      <c r="S102" s="10">
        <f t="shared" si="42"/>
        <v>0</v>
      </c>
      <c r="T102" s="10">
        <f t="shared" si="53"/>
        <v>0</v>
      </c>
      <c r="U102" s="10">
        <f t="shared" si="60"/>
        <v>0</v>
      </c>
      <c r="V102" s="10">
        <f t="shared" si="55"/>
        <v>0</v>
      </c>
      <c r="W102" s="11" t="e">
        <f t="shared" si="43"/>
        <v>#DIV/0!</v>
      </c>
      <c r="X102" s="11">
        <f t="shared" si="44"/>
        <v>0</v>
      </c>
      <c r="Y102" s="83">
        <f t="shared" si="45"/>
        <v>0</v>
      </c>
      <c r="Z102" s="10">
        <f t="shared" si="59"/>
        <v>0</v>
      </c>
      <c r="AA102" s="11" t="e">
        <f t="shared" si="47"/>
        <v>#DIV/0!</v>
      </c>
      <c r="AB102" s="11" t="e">
        <f t="shared" si="48"/>
        <v>#DIV/0!</v>
      </c>
      <c r="AC102" s="11" t="e">
        <f t="shared" si="56"/>
        <v>#DIV/0!</v>
      </c>
      <c r="AD102" s="11" t="e">
        <f t="shared" si="57"/>
        <v>#DIV/0!</v>
      </c>
      <c r="AE102" s="20"/>
    </row>
    <row r="103" spans="1:33" ht="13.8" thickBot="1" x14ac:dyDescent="0.3">
      <c r="H103" s="89">
        <v>23</v>
      </c>
      <c r="I103" s="78">
        <v>0.95833333333333304</v>
      </c>
      <c r="J103" s="79">
        <v>23</v>
      </c>
      <c r="K103" s="6">
        <f>'Step 2 - Facility Data Inputs'!G46</f>
        <v>0</v>
      </c>
      <c r="L103" s="179">
        <f t="shared" si="38"/>
        <v>0</v>
      </c>
      <c r="M103" s="72">
        <f t="shared" si="51"/>
        <v>0</v>
      </c>
      <c r="N103" s="72">
        <f t="shared" si="58"/>
        <v>0</v>
      </c>
      <c r="O103" s="72">
        <f t="shared" si="52"/>
        <v>0</v>
      </c>
      <c r="P103" s="83" t="e">
        <f t="shared" si="39"/>
        <v>#DIV/0!</v>
      </c>
      <c r="Q103" s="83" t="e">
        <f t="shared" si="40"/>
        <v>#DIV/0!</v>
      </c>
      <c r="R103" s="83" t="e">
        <f t="shared" si="41"/>
        <v>#DIV/0!</v>
      </c>
      <c r="S103" s="10">
        <f t="shared" si="42"/>
        <v>0</v>
      </c>
      <c r="T103" s="13">
        <f t="shared" si="53"/>
        <v>0</v>
      </c>
      <c r="U103" s="10">
        <f t="shared" si="60"/>
        <v>0</v>
      </c>
      <c r="V103" s="13">
        <f t="shared" si="55"/>
        <v>0</v>
      </c>
      <c r="W103" s="11" t="e">
        <f t="shared" si="43"/>
        <v>#DIV/0!</v>
      </c>
      <c r="X103" s="11">
        <f t="shared" si="44"/>
        <v>0</v>
      </c>
      <c r="Y103" s="83">
        <f t="shared" si="45"/>
        <v>0</v>
      </c>
      <c r="Z103" s="13">
        <f t="shared" si="59"/>
        <v>0</v>
      </c>
      <c r="AA103" s="14" t="e">
        <f t="shared" si="47"/>
        <v>#DIV/0!</v>
      </c>
      <c r="AB103" s="11" t="e">
        <f t="shared" si="48"/>
        <v>#DIV/0!</v>
      </c>
      <c r="AC103" s="11" t="e">
        <f>IF((X103-Q103)=0,IF(OR(AB102&lt;&gt;0,AB80&lt;&gt;0),0,NA()),X103)</f>
        <v>#DIV/0!</v>
      </c>
      <c r="AD103" s="11" t="e">
        <f t="shared" si="57"/>
        <v>#DIV/0!</v>
      </c>
      <c r="AE103" s="20"/>
    </row>
    <row r="104" spans="1:33" x14ac:dyDescent="0.25">
      <c r="I104" s="5"/>
      <c r="J104" s="5"/>
      <c r="K104" s="5"/>
      <c r="L104" s="73"/>
      <c r="M104" s="73"/>
      <c r="N104" s="73"/>
      <c r="O104" s="73"/>
      <c r="P104" s="97" t="e">
        <f>MAX(P80:P103)</f>
        <v>#DIV/0!</v>
      </c>
      <c r="Q104" s="97" t="e">
        <f>MAX(Q80:Q103)</f>
        <v>#DIV/0!</v>
      </c>
      <c r="R104" s="97" t="e">
        <f>(SUM(R80:R103))</f>
        <v>#DIV/0!</v>
      </c>
      <c r="S104" s="5"/>
      <c r="T104" s="5"/>
      <c r="U104" s="5"/>
      <c r="V104" s="5"/>
      <c r="W104" s="87" t="e">
        <f>MAX(W80:W103)</f>
        <v>#DIV/0!</v>
      </c>
      <c r="X104" s="97">
        <f>MAX(X80:X103)</f>
        <v>0</v>
      </c>
      <c r="Y104" s="97">
        <f>ROUND(SUM(Y80:Y103),0)</f>
        <v>0</v>
      </c>
      <c r="Z104" s="19">
        <f>SUM(Z80:Z103)</f>
        <v>0</v>
      </c>
      <c r="AA104" s="97" t="e">
        <f>MAX(AA80:AA103)</f>
        <v>#DIV/0!</v>
      </c>
      <c r="AB104" s="97" t="e">
        <f>MAX(AB80:AB103)</f>
        <v>#DIV/0!</v>
      </c>
      <c r="AC104" s="97"/>
      <c r="AD104" s="97" t="e">
        <f>ROUND(SUM(AD80:AD103),0)</f>
        <v>#DIV/0!</v>
      </c>
      <c r="AE104" s="20"/>
    </row>
    <row r="105" spans="1:33" x14ac:dyDescent="0.25">
      <c r="I105" s="5"/>
      <c r="J105" s="5"/>
      <c r="K105" s="5"/>
      <c r="L105" s="73"/>
      <c r="M105" s="73"/>
      <c r="N105" s="73"/>
      <c r="O105" s="73"/>
      <c r="P105" s="73"/>
      <c r="Q105" s="73"/>
      <c r="R105" s="73" t="e">
        <f>IF(R104&lt;100,ROUND(R104,0),IF(R104&lt;1000,ROUND(R104,-1),ROUND(R104,-2)))</f>
        <v>#DIV/0!</v>
      </c>
      <c r="S105" s="5"/>
      <c r="T105" s="5"/>
      <c r="U105" s="5"/>
      <c r="V105" s="5"/>
      <c r="W105" s="5"/>
      <c r="X105" s="5"/>
      <c r="Y105" s="73" t="e">
        <f>AD105+R105</f>
        <v>#DIV/0!</v>
      </c>
      <c r="AD105" s="73" t="e">
        <f>IF(AD104&lt;100,ROUND(AD104,0),IF(AD104&lt;1000,ROUND(AD104,-1),ROUND(AD104,-2)))</f>
        <v>#DIV/0!</v>
      </c>
    </row>
    <row r="106" spans="1:33" ht="13.8" thickBot="1" x14ac:dyDescent="0.3">
      <c r="I106" s="5"/>
      <c r="J106" s="5"/>
      <c r="K106" s="5"/>
      <c r="L106" s="73"/>
      <c r="M106" s="73"/>
      <c r="N106" s="73"/>
      <c r="O106" s="73"/>
      <c r="P106" s="73"/>
      <c r="Q106" s="73"/>
      <c r="R106" s="73"/>
      <c r="S106" s="5"/>
      <c r="T106" s="5"/>
      <c r="U106" s="5"/>
      <c r="V106" s="5"/>
      <c r="W106" s="5"/>
      <c r="X106" s="5"/>
      <c r="Y106" s="73"/>
      <c r="AD106" s="73"/>
    </row>
    <row r="107" spans="1:33" ht="27" customHeight="1" x14ac:dyDescent="0.3">
      <c r="A107" s="271" t="str">
        <f>'Step 2 - Facility Data Inputs'!H19</f>
        <v>Wednesday</v>
      </c>
      <c r="B107" s="155"/>
      <c r="C107" s="156"/>
      <c r="D107" s="156"/>
      <c r="E107" s="157"/>
      <c r="F107" s="157"/>
      <c r="H107" s="7">
        <f>'Step 2 - Facility Data Inputs'!F78</f>
        <v>0</v>
      </c>
      <c r="I107" s="8" t="s">
        <v>2</v>
      </c>
      <c r="J107" s="8"/>
      <c r="K107" s="8" t="s">
        <v>5</v>
      </c>
      <c r="L107" s="92" t="s">
        <v>875</v>
      </c>
      <c r="M107" s="92" t="s">
        <v>877</v>
      </c>
      <c r="N107" s="92" t="s">
        <v>878</v>
      </c>
      <c r="O107" s="92" t="s">
        <v>879</v>
      </c>
      <c r="P107" s="92" t="s">
        <v>910</v>
      </c>
      <c r="Q107" s="92" t="s">
        <v>880</v>
      </c>
      <c r="R107" s="92" t="s">
        <v>882</v>
      </c>
      <c r="S107" s="93" t="s">
        <v>6</v>
      </c>
      <c r="T107" s="94" t="s">
        <v>9</v>
      </c>
      <c r="U107" s="94" t="s">
        <v>11</v>
      </c>
      <c r="V107" s="94" t="s">
        <v>8</v>
      </c>
      <c r="W107" s="9" t="s">
        <v>7</v>
      </c>
      <c r="X107" s="9" t="s">
        <v>924</v>
      </c>
      <c r="Y107" s="94" t="s">
        <v>883</v>
      </c>
      <c r="Z107" s="95" t="s">
        <v>881</v>
      </c>
      <c r="AA107" s="95" t="s">
        <v>908</v>
      </c>
      <c r="AB107" s="95" t="s">
        <v>909</v>
      </c>
      <c r="AC107" s="96" t="s">
        <v>911</v>
      </c>
      <c r="AD107" s="96" t="s">
        <v>884</v>
      </c>
    </row>
    <row r="108" spans="1:33" ht="13.8" x14ac:dyDescent="0.25">
      <c r="A108" s="272"/>
      <c r="B108" s="122"/>
      <c r="C108" s="164" t="s">
        <v>906</v>
      </c>
      <c r="D108" s="2"/>
      <c r="E108" s="2"/>
      <c r="F108" s="2"/>
      <c r="H108" s="2"/>
      <c r="I108" s="10"/>
      <c r="J108" s="10"/>
      <c r="K108" s="10"/>
      <c r="L108" s="72"/>
      <c r="M108" s="72"/>
      <c r="N108" s="72"/>
      <c r="O108" s="72"/>
      <c r="P108" s="72"/>
      <c r="Q108" s="72"/>
      <c r="R108" s="72"/>
      <c r="S108" s="10"/>
      <c r="T108" s="10"/>
      <c r="U108" s="10"/>
      <c r="V108" s="10"/>
      <c r="W108" s="10"/>
      <c r="X108" s="10"/>
      <c r="Y108" s="10"/>
      <c r="Z108" s="10"/>
      <c r="AA108" s="10"/>
      <c r="AB108" s="10"/>
      <c r="AC108" s="10"/>
      <c r="AD108" s="10"/>
      <c r="AF108" s="4" t="s">
        <v>60</v>
      </c>
      <c r="AG108" s="22">
        <f>G118</f>
        <v>4</v>
      </c>
    </row>
    <row r="109" spans="1:33" ht="92.4" x14ac:dyDescent="0.25">
      <c r="A109" s="272"/>
      <c r="B109" s="122"/>
      <c r="C109" s="121" t="s">
        <v>912</v>
      </c>
      <c r="D109" s="194">
        <f>'Step 3 - WZ Analysis'!$D$73</f>
        <v>1900</v>
      </c>
      <c r="E109" s="176" t="s">
        <v>919</v>
      </c>
      <c r="F109" s="167">
        <f>D109*$I$10</f>
        <v>0</v>
      </c>
      <c r="H109" s="88">
        <v>0</v>
      </c>
      <c r="I109" s="78">
        <v>0</v>
      </c>
      <c r="J109" s="79">
        <v>0</v>
      </c>
      <c r="K109" s="6">
        <f>'Step 2 - Facility Data Inputs'!H23</f>
        <v>0</v>
      </c>
      <c r="L109" s="179">
        <f>$F$109</f>
        <v>0</v>
      </c>
      <c r="M109" s="72">
        <f>K109</f>
        <v>0</v>
      </c>
      <c r="N109" s="179">
        <f>MIN(K109,L109)</f>
        <v>0</v>
      </c>
      <c r="O109" s="72">
        <f>M109-K109</f>
        <v>0</v>
      </c>
      <c r="P109" s="83" t="e">
        <f>O109*$I$12/(5280*$I$10)</f>
        <v>#DIV/0!</v>
      </c>
      <c r="Q109" s="83" t="e">
        <f>60*O109/L109</f>
        <v>#DIV/0!</v>
      </c>
      <c r="R109" s="83" t="e">
        <f>((O109*Q109)*$I$11*$J$16/(60))+((O109*Q109)*(1-$I$11)*$J$17/(60))</f>
        <v>#DIV/0!</v>
      </c>
      <c r="S109" s="10">
        <f>IF($AG$112-H110&gt;=0,IF($G$117="",$F$116,$G$117),IF(AND(H109&gt;=$AG$108,H109&lt;$AG$108+$AG$109),IF($G$117="",$F$116,$G$117),$F$109))</f>
        <v>0</v>
      </c>
      <c r="T109" s="10">
        <f>K109</f>
        <v>0</v>
      </c>
      <c r="U109" s="10">
        <f>MIN(K109,S109)</f>
        <v>0</v>
      </c>
      <c r="V109" s="10">
        <f>T109-K109</f>
        <v>0</v>
      </c>
      <c r="W109" s="11" t="e">
        <f>V109*$I$12/(5280*$I$10)</f>
        <v>#DIV/0!</v>
      </c>
      <c r="X109" s="11">
        <f>IF(S109=0,60*V109,60*V109/S109)</f>
        <v>0</v>
      </c>
      <c r="Y109" s="83">
        <f>((V109*X109)*$I$11*$J$16/(60))+((V109*X109)*(1-$I$11)*$J$17/(60))</f>
        <v>0</v>
      </c>
      <c r="Z109" s="10">
        <f>V109-O109</f>
        <v>0</v>
      </c>
      <c r="AA109" s="11" t="e">
        <f>W109-P109</f>
        <v>#DIV/0!</v>
      </c>
      <c r="AB109" s="11" t="e">
        <f>X109-Q109</f>
        <v>#DIV/0!</v>
      </c>
      <c r="AC109" s="11" t="e">
        <f>IF((X109-Q109)=0,IF(OR(AB132&lt;&gt;0,AB110&lt;&gt;0),0,NA()),X109)</f>
        <v>#DIV/0!</v>
      </c>
      <c r="AD109" s="11" t="e">
        <f>Y109-R109</f>
        <v>#DIV/0!</v>
      </c>
      <c r="AE109" s="20"/>
      <c r="AF109" s="4" t="s">
        <v>61</v>
      </c>
      <c r="AG109" s="21">
        <f>D120</f>
        <v>0</v>
      </c>
    </row>
    <row r="110" spans="1:33" x14ac:dyDescent="0.25">
      <c r="A110" s="272"/>
      <c r="B110" s="122"/>
      <c r="C110" s="2"/>
      <c r="D110" s="125"/>
      <c r="E110" s="2"/>
      <c r="F110" s="2"/>
      <c r="H110" s="88">
        <v>1</v>
      </c>
      <c r="I110" s="78">
        <v>4.1666666666666699E-2</v>
      </c>
      <c r="J110" s="79">
        <v>1</v>
      </c>
      <c r="K110" s="6">
        <f>'Step 2 - Facility Data Inputs'!H24</f>
        <v>0</v>
      </c>
      <c r="L110" s="179">
        <f t="shared" ref="L110:L132" si="61">$F$109</f>
        <v>0</v>
      </c>
      <c r="M110" s="72">
        <f>M109+K110</f>
        <v>0</v>
      </c>
      <c r="N110" s="72">
        <f>IF((K110&lt;M110),IF((L110-K110)&gt;O109,O109+K110+N109,L110+N109),(L110+N109))</f>
        <v>0</v>
      </c>
      <c r="O110" s="72">
        <f>IF((K110&lt;L110),IF((L110-K110)&gt;O109,0,O109-(L110-K110)),(O109+(K110-L110)))</f>
        <v>0</v>
      </c>
      <c r="P110" s="83" t="e">
        <f t="shared" ref="P110:P132" si="62">O110*$I$12/(5280*$I$10)</f>
        <v>#DIV/0!</v>
      </c>
      <c r="Q110" s="83" t="e">
        <f t="shared" ref="Q110:Q132" si="63">60*O110/L110</f>
        <v>#DIV/0!</v>
      </c>
      <c r="R110" s="83" t="e">
        <f t="shared" ref="R110:R132" si="64">((O110*Q110)*$I$11*$J$16/(60))+((O110*Q110)*(1-$I$11)*$J$17/(60))</f>
        <v>#DIV/0!</v>
      </c>
      <c r="S110" s="10">
        <f t="shared" ref="S110:S132" si="65">IF($AG$112-H111&gt;=0,IF($G$117="",$F$116,$G$117),IF(AND(H110&gt;=$AG$108,H110&lt;$AG$108+$AG$109),IF($G$117="",$F$116,$G$117),$F$109))</f>
        <v>0</v>
      </c>
      <c r="T110" s="10">
        <f>T109+K110</f>
        <v>0</v>
      </c>
      <c r="U110" s="10">
        <f>IF((K110&lt;S110),IF((S110-K110)&gt;V109,V109+K110+U109,S110+U109),(S110+U109))</f>
        <v>0</v>
      </c>
      <c r="V110" s="10">
        <f>IF((K110&lt;S110),IF((S110-K110)&gt;V109,0,V109-(S110-K110)),(V109+(K110-S110)))</f>
        <v>0</v>
      </c>
      <c r="W110" s="11" t="e">
        <f t="shared" ref="W110:W132" si="66">V110*$I$12/(5280*$I$10)</f>
        <v>#DIV/0!</v>
      </c>
      <c r="X110" s="11">
        <f t="shared" ref="X110:X132" si="67">IF(S110=0,60*V110,60*V110/S110)</f>
        <v>0</v>
      </c>
      <c r="Y110" s="83">
        <f t="shared" ref="Y110:Y132" si="68">((V110*X110)*$I$11*$J$16/(60))+((V110*X110)*(1-$I$11)*$J$17/(60))</f>
        <v>0</v>
      </c>
      <c r="Z110" s="10">
        <f t="shared" ref="Z110:Z114" si="69">V110-O110</f>
        <v>0</v>
      </c>
      <c r="AA110" s="11" t="e">
        <f t="shared" ref="AA110:AA132" si="70">W110-P110</f>
        <v>#DIV/0!</v>
      </c>
      <c r="AB110" s="11" t="e">
        <f t="shared" ref="AB110:AB132" si="71">X110-Q110</f>
        <v>#DIV/0!</v>
      </c>
      <c r="AC110" s="11" t="e">
        <f>IF((X110-Q110)=0,IF(OR(AB109&lt;&gt;0,AB111&lt;&gt;0),0,NA()),X110)</f>
        <v>#DIV/0!</v>
      </c>
      <c r="AD110" s="11" t="e">
        <f t="shared" ref="AD110" si="72">Y110-R110</f>
        <v>#DIV/0!</v>
      </c>
      <c r="AE110" s="20"/>
      <c r="AF110" s="90"/>
      <c r="AG110" s="74"/>
    </row>
    <row r="111" spans="1:33" ht="13.8" x14ac:dyDescent="0.25">
      <c r="A111" s="272"/>
      <c r="B111" s="122"/>
      <c r="C111" s="165" t="s">
        <v>841</v>
      </c>
      <c r="D111" s="125"/>
      <c r="E111" s="2"/>
      <c r="F111" s="2"/>
      <c r="H111" s="88">
        <v>2</v>
      </c>
      <c r="I111" s="78">
        <v>8.3333333333333301E-2</v>
      </c>
      <c r="J111" s="79">
        <v>2</v>
      </c>
      <c r="K111" s="6">
        <f>'Step 2 - Facility Data Inputs'!H25</f>
        <v>0</v>
      </c>
      <c r="L111" s="179">
        <f t="shared" si="61"/>
        <v>0</v>
      </c>
      <c r="M111" s="72">
        <f t="shared" ref="M111:M132" si="73">M110+K111</f>
        <v>0</v>
      </c>
      <c r="N111" s="72">
        <f>IF((K111&lt;M111),IF((L111-K111)&gt;O110,O110+K111+N110,L111+N110),(L111+N110))</f>
        <v>0</v>
      </c>
      <c r="O111" s="72">
        <f t="shared" ref="O111:O132" si="74">IF((K111&lt;L111),IF((L111-K111)&gt;O110,0,O110-(L111-K111)),(O110+(K111-L111)))</f>
        <v>0</v>
      </c>
      <c r="P111" s="83" t="e">
        <f t="shared" si="62"/>
        <v>#DIV/0!</v>
      </c>
      <c r="Q111" s="83" t="e">
        <f t="shared" si="63"/>
        <v>#DIV/0!</v>
      </c>
      <c r="R111" s="83" t="e">
        <f t="shared" si="64"/>
        <v>#DIV/0!</v>
      </c>
      <c r="S111" s="10">
        <f t="shared" si="65"/>
        <v>0</v>
      </c>
      <c r="T111" s="10">
        <f t="shared" ref="T111:T132" si="75">T110+K111</f>
        <v>0</v>
      </c>
      <c r="U111" s="10">
        <f t="shared" ref="U111:U127" si="76">IF((K111&lt;S111),IF((S111-K111)&gt;V110,V110+K111+U110,S111+U110),(S111+U110))</f>
        <v>0</v>
      </c>
      <c r="V111" s="10">
        <f t="shared" ref="V111:V132" si="77">IF((K111&lt;S111),IF((S111-K111)&gt;V110,0,V110-(S111-K111)),(V110+(K111-S111)))</f>
        <v>0</v>
      </c>
      <c r="W111" s="11" t="e">
        <f>V111*$I$12/(5280*$I$10)</f>
        <v>#DIV/0!</v>
      </c>
      <c r="X111" s="11">
        <f t="shared" si="67"/>
        <v>0</v>
      </c>
      <c r="Y111" s="83">
        <f>((V111*X111)*$I$11*$J$16/(60))+((V111*X111)*(1-$I$11)*$J$17/(60))</f>
        <v>0</v>
      </c>
      <c r="Z111" s="10">
        <f>V111-O111</f>
        <v>0</v>
      </c>
      <c r="AA111" s="11" t="e">
        <f>W111-P111</f>
        <v>#DIV/0!</v>
      </c>
      <c r="AB111" s="11" t="e">
        <f t="shared" si="71"/>
        <v>#DIV/0!</v>
      </c>
      <c r="AC111" s="11" t="e">
        <f>IF((X111-Q111)=0,IF(OR(AB110&lt;&gt;0,AB112&lt;&gt;0),0,NA()),X111)</f>
        <v>#DIV/0!</v>
      </c>
      <c r="AD111" s="11" t="e">
        <f>Y111-R111</f>
        <v>#DIV/0!</v>
      </c>
      <c r="AE111" s="20"/>
      <c r="AF111" s="90" t="s">
        <v>18</v>
      </c>
      <c r="AG111" s="74">
        <f>COUNT(H109:H132)</f>
        <v>24</v>
      </c>
    </row>
    <row r="112" spans="1:33" x14ac:dyDescent="0.25">
      <c r="A112" s="272"/>
      <c r="B112" s="122"/>
      <c r="C112" s="120" t="s">
        <v>920</v>
      </c>
      <c r="D112" s="262" t="str">
        <f>'Step 3 - WZ Analysis'!$D$76:$F$76</f>
        <v>(Example: Pothole Patching - Close One Lane OR Joint Repair - Two Lanes Closed)</v>
      </c>
      <c r="E112" s="262"/>
      <c r="F112" s="262"/>
      <c r="H112" s="88">
        <v>3</v>
      </c>
      <c r="I112" s="78">
        <v>0.125</v>
      </c>
      <c r="J112" s="79">
        <v>3</v>
      </c>
      <c r="K112" s="6">
        <f>'Step 2 - Facility Data Inputs'!H26</f>
        <v>0</v>
      </c>
      <c r="L112" s="179">
        <f t="shared" si="61"/>
        <v>0</v>
      </c>
      <c r="M112" s="72">
        <f t="shared" si="73"/>
        <v>0</v>
      </c>
      <c r="N112" s="72">
        <f>IF((K112&lt;M112),IF((L112-K112)&gt;O111,O111+K112+N111,L112+N111),(L112+N111))</f>
        <v>0</v>
      </c>
      <c r="O112" s="72">
        <f t="shared" si="74"/>
        <v>0</v>
      </c>
      <c r="P112" s="83" t="e">
        <f t="shared" si="62"/>
        <v>#DIV/0!</v>
      </c>
      <c r="Q112" s="83" t="e">
        <f t="shared" si="63"/>
        <v>#DIV/0!</v>
      </c>
      <c r="R112" s="83" t="e">
        <f t="shared" si="64"/>
        <v>#DIV/0!</v>
      </c>
      <c r="S112" s="10">
        <f t="shared" si="65"/>
        <v>0</v>
      </c>
      <c r="T112" s="10">
        <f t="shared" si="75"/>
        <v>0</v>
      </c>
      <c r="U112" s="10">
        <f t="shared" si="76"/>
        <v>0</v>
      </c>
      <c r="V112" s="10">
        <f t="shared" si="77"/>
        <v>0</v>
      </c>
      <c r="W112" s="11" t="e">
        <f t="shared" si="66"/>
        <v>#DIV/0!</v>
      </c>
      <c r="X112" s="11">
        <f>IF(S112=0,60*V112,60*V112/S112)</f>
        <v>0</v>
      </c>
      <c r="Y112" s="83">
        <f t="shared" si="68"/>
        <v>0</v>
      </c>
      <c r="Z112" s="10">
        <f t="shared" si="69"/>
        <v>0</v>
      </c>
      <c r="AA112" s="11" t="e">
        <f t="shared" si="70"/>
        <v>#DIV/0!</v>
      </c>
      <c r="AB112" s="11" t="e">
        <f t="shared" si="71"/>
        <v>#DIV/0!</v>
      </c>
      <c r="AC112" s="11" t="e">
        <f t="shared" ref="AC112:AC131" si="78">IF((X112-Q112)=0,IF(OR(AB111&lt;&gt;0,AB113&lt;&gt;0),0,NA()),X112)</f>
        <v>#DIV/0!</v>
      </c>
      <c r="AD112" s="11" t="e">
        <f t="shared" ref="AD112:AD132" si="79">Y112-R112</f>
        <v>#DIV/0!</v>
      </c>
      <c r="AE112" s="20"/>
      <c r="AF112" s="90" t="s">
        <v>19</v>
      </c>
      <c r="AG112" s="180">
        <f>AG108+AG109-AG111</f>
        <v>-20</v>
      </c>
    </row>
    <row r="113" spans="1:33" x14ac:dyDescent="0.25">
      <c r="A113" s="272"/>
      <c r="B113" s="122"/>
      <c r="C113" s="120" t="s">
        <v>913</v>
      </c>
      <c r="D113" s="274" t="str">
        <f>'Step 3 - WZ Analysis'!$D$77:$F$77</f>
        <v>No Work Zone (Use for Calibrating Existing Conditions)</v>
      </c>
      <c r="E113" s="274"/>
      <c r="F113" s="274"/>
      <c r="G113">
        <f>VLOOKUP(D113,'Reference Sheet'!$S$2:$T$8,2)</f>
        <v>538</v>
      </c>
      <c r="H113" s="88">
        <v>4</v>
      </c>
      <c r="I113" s="78">
        <v>0.16666666666666699</v>
      </c>
      <c r="J113" s="79">
        <v>4</v>
      </c>
      <c r="K113" s="6">
        <f>'Step 2 - Facility Data Inputs'!H27</f>
        <v>0</v>
      </c>
      <c r="L113" s="179">
        <f t="shared" si="61"/>
        <v>0</v>
      </c>
      <c r="M113" s="72">
        <f t="shared" si="73"/>
        <v>0</v>
      </c>
      <c r="N113" s="72">
        <f t="shared" ref="N113:N132" si="80">IF((K113&lt;M113),IF((L113-K113)&gt;O112,O112+K113+N112,L113+N112),(L113+N112))</f>
        <v>0</v>
      </c>
      <c r="O113" s="72">
        <f t="shared" si="74"/>
        <v>0</v>
      </c>
      <c r="P113" s="83" t="e">
        <f t="shared" si="62"/>
        <v>#DIV/0!</v>
      </c>
      <c r="Q113" s="83" t="e">
        <f t="shared" si="63"/>
        <v>#DIV/0!</v>
      </c>
      <c r="R113" s="83" t="e">
        <f t="shared" si="64"/>
        <v>#DIV/0!</v>
      </c>
      <c r="S113" s="10">
        <f t="shared" si="65"/>
        <v>0</v>
      </c>
      <c r="T113" s="10">
        <f t="shared" si="75"/>
        <v>0</v>
      </c>
      <c r="U113" s="10">
        <f t="shared" si="76"/>
        <v>0</v>
      </c>
      <c r="V113" s="10">
        <f t="shared" si="77"/>
        <v>0</v>
      </c>
      <c r="W113" s="11" t="e">
        <f t="shared" si="66"/>
        <v>#DIV/0!</v>
      </c>
      <c r="X113" s="11">
        <f t="shared" si="67"/>
        <v>0</v>
      </c>
      <c r="Y113" s="83">
        <f t="shared" si="68"/>
        <v>0</v>
      </c>
      <c r="Z113" s="10">
        <f t="shared" si="69"/>
        <v>0</v>
      </c>
      <c r="AA113" s="11" t="e">
        <f t="shared" si="70"/>
        <v>#DIV/0!</v>
      </c>
      <c r="AB113" s="11" t="e">
        <f t="shared" si="71"/>
        <v>#DIV/0!</v>
      </c>
      <c r="AC113" s="11" t="e">
        <f t="shared" si="78"/>
        <v>#DIV/0!</v>
      </c>
      <c r="AD113" s="11" t="e">
        <f t="shared" si="79"/>
        <v>#DIV/0!</v>
      </c>
      <c r="AE113" s="20"/>
    </row>
    <row r="114" spans="1:33" x14ac:dyDescent="0.25">
      <c r="A114" s="272"/>
      <c r="B114" s="122"/>
      <c r="C114" s="120" t="s">
        <v>914</v>
      </c>
      <c r="D114" s="275" t="str">
        <f>'Step 3 - WZ Analysis'!$D$78:$F$78</f>
        <v>&gt; 11.5</v>
      </c>
      <c r="E114" s="275"/>
      <c r="F114" s="275"/>
      <c r="G114">
        <f>VLOOKUP(D114,'Reference Sheet'!$V$2:$W$4,2)</f>
        <v>1</v>
      </c>
      <c r="H114" s="88">
        <v>5</v>
      </c>
      <c r="I114" s="78">
        <v>0.20833333333333301</v>
      </c>
      <c r="J114" s="79">
        <v>5</v>
      </c>
      <c r="K114" s="6">
        <f>'Step 2 - Facility Data Inputs'!H28</f>
        <v>0</v>
      </c>
      <c r="L114" s="179">
        <f t="shared" si="61"/>
        <v>0</v>
      </c>
      <c r="M114" s="72">
        <f t="shared" si="73"/>
        <v>0</v>
      </c>
      <c r="N114" s="72">
        <f t="shared" si="80"/>
        <v>0</v>
      </c>
      <c r="O114" s="72">
        <f t="shared" si="74"/>
        <v>0</v>
      </c>
      <c r="P114" s="83" t="e">
        <f t="shared" si="62"/>
        <v>#DIV/0!</v>
      </c>
      <c r="Q114" s="83" t="e">
        <f t="shared" si="63"/>
        <v>#DIV/0!</v>
      </c>
      <c r="R114" s="83" t="e">
        <f t="shared" si="64"/>
        <v>#DIV/0!</v>
      </c>
      <c r="S114" s="10">
        <f t="shared" si="65"/>
        <v>0</v>
      </c>
      <c r="T114" s="10">
        <f t="shared" si="75"/>
        <v>0</v>
      </c>
      <c r="U114" s="10">
        <f t="shared" si="76"/>
        <v>0</v>
      </c>
      <c r="V114" s="10">
        <f t="shared" si="77"/>
        <v>0</v>
      </c>
      <c r="W114" s="11" t="e">
        <f t="shared" si="66"/>
        <v>#DIV/0!</v>
      </c>
      <c r="X114" s="11">
        <f t="shared" si="67"/>
        <v>0</v>
      </c>
      <c r="Y114" s="83">
        <f t="shared" si="68"/>
        <v>0</v>
      </c>
      <c r="Z114" s="10">
        <f t="shared" si="69"/>
        <v>0</v>
      </c>
      <c r="AA114" s="11" t="e">
        <f t="shared" si="70"/>
        <v>#DIV/0!</v>
      </c>
      <c r="AB114" s="11" t="e">
        <f t="shared" si="71"/>
        <v>#DIV/0!</v>
      </c>
      <c r="AC114" s="11" t="e">
        <f t="shared" si="78"/>
        <v>#DIV/0!</v>
      </c>
      <c r="AD114" s="11" t="e">
        <f t="shared" si="79"/>
        <v>#DIV/0!</v>
      </c>
      <c r="AE114" s="20"/>
    </row>
    <row r="115" spans="1:33" x14ac:dyDescent="0.25">
      <c r="A115" s="272"/>
      <c r="B115" s="122"/>
      <c r="C115" s="120" t="s">
        <v>915</v>
      </c>
      <c r="D115" s="275">
        <f>'Step 3 - WZ Analysis'!$D$79:$F$79</f>
        <v>0</v>
      </c>
      <c r="E115" s="275"/>
      <c r="F115" s="275"/>
      <c r="H115" s="88">
        <v>6</v>
      </c>
      <c r="I115" s="78">
        <v>0.25</v>
      </c>
      <c r="J115" s="79">
        <v>6</v>
      </c>
      <c r="K115" s="6">
        <f>'Step 2 - Facility Data Inputs'!H29</f>
        <v>0</v>
      </c>
      <c r="L115" s="179">
        <f t="shared" si="61"/>
        <v>0</v>
      </c>
      <c r="M115" s="72">
        <f t="shared" si="73"/>
        <v>0</v>
      </c>
      <c r="N115" s="72">
        <f t="shared" si="80"/>
        <v>0</v>
      </c>
      <c r="O115" s="72">
        <f t="shared" si="74"/>
        <v>0</v>
      </c>
      <c r="P115" s="83" t="e">
        <f t="shared" si="62"/>
        <v>#DIV/0!</v>
      </c>
      <c r="Q115" s="83" t="e">
        <f t="shared" si="63"/>
        <v>#DIV/0!</v>
      </c>
      <c r="R115" s="83" t="e">
        <f t="shared" si="64"/>
        <v>#DIV/0!</v>
      </c>
      <c r="S115" s="10">
        <f t="shared" si="65"/>
        <v>0</v>
      </c>
      <c r="T115" s="10">
        <f t="shared" si="75"/>
        <v>0</v>
      </c>
      <c r="U115" s="10">
        <f t="shared" si="76"/>
        <v>0</v>
      </c>
      <c r="V115" s="10">
        <f t="shared" si="77"/>
        <v>0</v>
      </c>
      <c r="W115" s="11" t="e">
        <f t="shared" si="66"/>
        <v>#DIV/0!</v>
      </c>
      <c r="X115" s="11">
        <f t="shared" si="67"/>
        <v>0</v>
      </c>
      <c r="Y115" s="83">
        <f t="shared" si="68"/>
        <v>0</v>
      </c>
      <c r="Z115" s="10">
        <f>V115-O115</f>
        <v>0</v>
      </c>
      <c r="AA115" s="11" t="e">
        <f t="shared" si="70"/>
        <v>#DIV/0!</v>
      </c>
      <c r="AB115" s="11" t="e">
        <f t="shared" si="71"/>
        <v>#DIV/0!</v>
      </c>
      <c r="AC115" s="11" t="e">
        <f t="shared" si="78"/>
        <v>#DIV/0!</v>
      </c>
      <c r="AD115" s="11" t="e">
        <f t="shared" si="79"/>
        <v>#DIV/0!</v>
      </c>
      <c r="AE115" s="20"/>
      <c r="AF115" s="4" t="s">
        <v>57</v>
      </c>
      <c r="AG115" s="3">
        <f>MAX(X109:X132)</f>
        <v>0</v>
      </c>
    </row>
    <row r="116" spans="1:33" ht="66" x14ac:dyDescent="0.25">
      <c r="A116" s="272"/>
      <c r="B116" s="122"/>
      <c r="C116" s="121" t="s">
        <v>917</v>
      </c>
      <c r="D116" s="178">
        <f>IF(G113=538,D109,IF(VLOOKUP((G113+G114),'HCM 2010 Program'!$C$3:$H$20,6)&gt;(D109),D109,VLOOKUP((G113+G114),'HCM 2010 Program'!$C$3:$H$20,6)))</f>
        <v>1900</v>
      </c>
      <c r="E116" s="55" t="s">
        <v>922</v>
      </c>
      <c r="F116" s="168">
        <f>MIN((D116*D115),F109)</f>
        <v>0</v>
      </c>
      <c r="G116" s="55" t="s">
        <v>925</v>
      </c>
      <c r="H116" s="88">
        <v>7</v>
      </c>
      <c r="I116" s="78">
        <v>0.29166666666666702</v>
      </c>
      <c r="J116" s="79">
        <v>7</v>
      </c>
      <c r="K116" s="6">
        <f>'Step 2 - Facility Data Inputs'!H30</f>
        <v>0</v>
      </c>
      <c r="L116" s="179">
        <f t="shared" si="61"/>
        <v>0</v>
      </c>
      <c r="M116" s="72">
        <f t="shared" si="73"/>
        <v>0</v>
      </c>
      <c r="N116" s="72">
        <f t="shared" si="80"/>
        <v>0</v>
      </c>
      <c r="O116" s="72">
        <f t="shared" si="74"/>
        <v>0</v>
      </c>
      <c r="P116" s="83" t="e">
        <f t="shared" si="62"/>
        <v>#DIV/0!</v>
      </c>
      <c r="Q116" s="83" t="e">
        <f t="shared" si="63"/>
        <v>#DIV/0!</v>
      </c>
      <c r="R116" s="83" t="e">
        <f t="shared" si="64"/>
        <v>#DIV/0!</v>
      </c>
      <c r="S116" s="10">
        <f t="shared" si="65"/>
        <v>0</v>
      </c>
      <c r="T116" s="10">
        <f t="shared" si="75"/>
        <v>0</v>
      </c>
      <c r="U116" s="10">
        <f t="shared" si="76"/>
        <v>0</v>
      </c>
      <c r="V116" s="10">
        <f t="shared" si="77"/>
        <v>0</v>
      </c>
      <c r="W116" s="11" t="e">
        <f t="shared" si="66"/>
        <v>#DIV/0!</v>
      </c>
      <c r="X116" s="11">
        <f t="shared" si="67"/>
        <v>0</v>
      </c>
      <c r="Y116" s="83">
        <f t="shared" si="68"/>
        <v>0</v>
      </c>
      <c r="Z116" s="10">
        <f t="shared" ref="Z116:Z132" si="81">V116-O116</f>
        <v>0</v>
      </c>
      <c r="AA116" s="11" t="e">
        <f t="shared" si="70"/>
        <v>#DIV/0!</v>
      </c>
      <c r="AB116" s="11" t="e">
        <f t="shared" si="71"/>
        <v>#DIV/0!</v>
      </c>
      <c r="AC116" s="11" t="e">
        <f t="shared" si="78"/>
        <v>#DIV/0!</v>
      </c>
      <c r="AD116" s="11" t="e">
        <f t="shared" si="79"/>
        <v>#DIV/0!</v>
      </c>
      <c r="AE116" s="20"/>
    </row>
    <row r="117" spans="1:33" ht="79.2" x14ac:dyDescent="0.25">
      <c r="A117" s="272"/>
      <c r="B117" s="122"/>
      <c r="C117" s="121" t="s">
        <v>916</v>
      </c>
      <c r="D117" s="124"/>
      <c r="E117" s="195">
        <f>'Step 3 - WZ Analysis'!E81</f>
        <v>0</v>
      </c>
      <c r="F117" s="123"/>
      <c r="G117" s="74" t="str">
        <f>IF('Step 3 - WZ Analysis'!E81="","",'Step 3 - WZ Analysis'!E81)</f>
        <v/>
      </c>
      <c r="H117" s="88">
        <v>8</v>
      </c>
      <c r="I117" s="78">
        <v>0.33333333333333298</v>
      </c>
      <c r="J117" s="79">
        <v>8</v>
      </c>
      <c r="K117" s="6">
        <f>'Step 2 - Facility Data Inputs'!H31</f>
        <v>0</v>
      </c>
      <c r="L117" s="179">
        <f t="shared" si="61"/>
        <v>0</v>
      </c>
      <c r="M117" s="72">
        <f t="shared" si="73"/>
        <v>0</v>
      </c>
      <c r="N117" s="72">
        <f t="shared" si="80"/>
        <v>0</v>
      </c>
      <c r="O117" s="72">
        <f t="shared" si="74"/>
        <v>0</v>
      </c>
      <c r="P117" s="83" t="e">
        <f t="shared" si="62"/>
        <v>#DIV/0!</v>
      </c>
      <c r="Q117" s="83" t="e">
        <f t="shared" si="63"/>
        <v>#DIV/0!</v>
      </c>
      <c r="R117" s="83" t="e">
        <f t="shared" si="64"/>
        <v>#DIV/0!</v>
      </c>
      <c r="S117" s="10">
        <f t="shared" si="65"/>
        <v>0</v>
      </c>
      <c r="T117" s="10">
        <f t="shared" si="75"/>
        <v>0</v>
      </c>
      <c r="U117" s="10">
        <f t="shared" si="76"/>
        <v>0</v>
      </c>
      <c r="V117" s="10">
        <f t="shared" si="77"/>
        <v>0</v>
      </c>
      <c r="W117" s="11" t="e">
        <f t="shared" si="66"/>
        <v>#DIV/0!</v>
      </c>
      <c r="X117" s="11">
        <f t="shared" si="67"/>
        <v>0</v>
      </c>
      <c r="Y117" s="83">
        <f t="shared" si="68"/>
        <v>0</v>
      </c>
      <c r="Z117" s="10">
        <f t="shared" si="81"/>
        <v>0</v>
      </c>
      <c r="AA117" s="11" t="e">
        <f t="shared" si="70"/>
        <v>#DIV/0!</v>
      </c>
      <c r="AB117" s="11" t="e">
        <f t="shared" si="71"/>
        <v>#DIV/0!</v>
      </c>
      <c r="AC117" s="11" t="e">
        <f t="shared" si="78"/>
        <v>#DIV/0!</v>
      </c>
      <c r="AD117" s="11" t="e">
        <f t="shared" si="79"/>
        <v>#DIV/0!</v>
      </c>
      <c r="AE117" s="20"/>
      <c r="AF117" s="4" t="s">
        <v>58</v>
      </c>
      <c r="AG117" s="3" t="e">
        <f>(SUM(V109:V132)/T132)*60</f>
        <v>#DIV/0!</v>
      </c>
    </row>
    <row r="118" spans="1:33" x14ac:dyDescent="0.25">
      <c r="A118" s="272"/>
      <c r="B118" s="122"/>
      <c r="C118" s="114" t="s">
        <v>900</v>
      </c>
      <c r="D118" s="276">
        <f>'Step 3 - WZ Analysis'!D82:F82</f>
        <v>0.16666666666666699</v>
      </c>
      <c r="E118" s="276"/>
      <c r="F118" s="276"/>
      <c r="G118" s="173">
        <f>VLOOKUP(D118,'WZ Analysis (Worksheet)'!$I$22:$J$45,2)</f>
        <v>4</v>
      </c>
      <c r="H118" s="88">
        <v>9</v>
      </c>
      <c r="I118" s="78">
        <v>0.375</v>
      </c>
      <c r="J118" s="79">
        <v>9</v>
      </c>
      <c r="K118" s="6">
        <f>'Step 2 - Facility Data Inputs'!H32</f>
        <v>0</v>
      </c>
      <c r="L118" s="179">
        <f t="shared" si="61"/>
        <v>0</v>
      </c>
      <c r="M118" s="72">
        <f t="shared" si="73"/>
        <v>0</v>
      </c>
      <c r="N118" s="72">
        <f t="shared" si="80"/>
        <v>0</v>
      </c>
      <c r="O118" s="72">
        <f t="shared" si="74"/>
        <v>0</v>
      </c>
      <c r="P118" s="83" t="e">
        <f t="shared" si="62"/>
        <v>#DIV/0!</v>
      </c>
      <c r="Q118" s="83" t="e">
        <f t="shared" si="63"/>
        <v>#DIV/0!</v>
      </c>
      <c r="R118" s="83" t="e">
        <f t="shared" si="64"/>
        <v>#DIV/0!</v>
      </c>
      <c r="S118" s="10">
        <f t="shared" si="65"/>
        <v>0</v>
      </c>
      <c r="T118" s="10">
        <f t="shared" si="75"/>
        <v>0</v>
      </c>
      <c r="U118" s="10">
        <f t="shared" si="76"/>
        <v>0</v>
      </c>
      <c r="V118" s="10">
        <f t="shared" si="77"/>
        <v>0</v>
      </c>
      <c r="W118" s="11" t="e">
        <f t="shared" si="66"/>
        <v>#DIV/0!</v>
      </c>
      <c r="X118" s="11">
        <f t="shared" si="67"/>
        <v>0</v>
      </c>
      <c r="Y118" s="83">
        <f t="shared" si="68"/>
        <v>0</v>
      </c>
      <c r="Z118" s="10">
        <f t="shared" si="81"/>
        <v>0</v>
      </c>
      <c r="AA118" s="11" t="e">
        <f t="shared" si="70"/>
        <v>#DIV/0!</v>
      </c>
      <c r="AB118" s="11" t="e">
        <f t="shared" si="71"/>
        <v>#DIV/0!</v>
      </c>
      <c r="AC118" s="11" t="e">
        <f t="shared" si="78"/>
        <v>#DIV/0!</v>
      </c>
      <c r="AD118" s="11" t="e">
        <f t="shared" si="79"/>
        <v>#DIV/0!</v>
      </c>
      <c r="AE118" s="20"/>
    </row>
    <row r="119" spans="1:33" x14ac:dyDescent="0.25">
      <c r="A119" s="272"/>
      <c r="B119" s="122"/>
      <c r="C119" s="114" t="s">
        <v>901</v>
      </c>
      <c r="D119" s="276">
        <f>'Step 3 - WZ Analysis'!D83:F83</f>
        <v>0.29166666666666702</v>
      </c>
      <c r="E119" s="276"/>
      <c r="F119" s="276"/>
      <c r="G119" s="173">
        <f>VLOOKUP(D119,'WZ Analysis (Worksheet)'!$I$22:$J$45,2)</f>
        <v>7</v>
      </c>
      <c r="H119" s="88">
        <v>10</v>
      </c>
      <c r="I119" s="78">
        <v>0.41666666666666702</v>
      </c>
      <c r="J119" s="79">
        <v>10</v>
      </c>
      <c r="K119" s="6">
        <f>'Step 2 - Facility Data Inputs'!H33</f>
        <v>0</v>
      </c>
      <c r="L119" s="179">
        <f t="shared" si="61"/>
        <v>0</v>
      </c>
      <c r="M119" s="72">
        <f t="shared" si="73"/>
        <v>0</v>
      </c>
      <c r="N119" s="72">
        <f t="shared" si="80"/>
        <v>0</v>
      </c>
      <c r="O119" s="72">
        <f t="shared" si="74"/>
        <v>0</v>
      </c>
      <c r="P119" s="83" t="e">
        <f t="shared" si="62"/>
        <v>#DIV/0!</v>
      </c>
      <c r="Q119" s="83" t="e">
        <f t="shared" si="63"/>
        <v>#DIV/0!</v>
      </c>
      <c r="R119" s="83" t="e">
        <f t="shared" si="64"/>
        <v>#DIV/0!</v>
      </c>
      <c r="S119" s="10">
        <f t="shared" si="65"/>
        <v>0</v>
      </c>
      <c r="T119" s="10">
        <f t="shared" si="75"/>
        <v>0</v>
      </c>
      <c r="U119" s="10">
        <f t="shared" si="76"/>
        <v>0</v>
      </c>
      <c r="V119" s="10">
        <f t="shared" si="77"/>
        <v>0</v>
      </c>
      <c r="W119" s="11" t="e">
        <f t="shared" si="66"/>
        <v>#DIV/0!</v>
      </c>
      <c r="X119" s="11">
        <f t="shared" si="67"/>
        <v>0</v>
      </c>
      <c r="Y119" s="83">
        <f t="shared" si="68"/>
        <v>0</v>
      </c>
      <c r="Z119" s="10">
        <f t="shared" si="81"/>
        <v>0</v>
      </c>
      <c r="AA119" s="11" t="e">
        <f t="shared" si="70"/>
        <v>#DIV/0!</v>
      </c>
      <c r="AB119" s="11" t="e">
        <f t="shared" si="71"/>
        <v>#DIV/0!</v>
      </c>
      <c r="AC119" s="11" t="e">
        <f t="shared" si="78"/>
        <v>#DIV/0!</v>
      </c>
      <c r="AD119" s="11" t="e">
        <f t="shared" si="79"/>
        <v>#DIV/0!</v>
      </c>
      <c r="AE119" s="20"/>
      <c r="AF119" s="4" t="s">
        <v>17</v>
      </c>
      <c r="AG119" s="18">
        <f>Z133</f>
        <v>0</v>
      </c>
    </row>
    <row r="120" spans="1:33" x14ac:dyDescent="0.25">
      <c r="A120" s="272"/>
      <c r="B120" s="122"/>
      <c r="C120" s="114" t="s">
        <v>902</v>
      </c>
      <c r="D120" s="261">
        <f>'Step 3 - WZ Analysis'!D84:F84</f>
        <v>0</v>
      </c>
      <c r="E120" s="261"/>
      <c r="F120" s="261"/>
      <c r="H120" s="88">
        <v>11</v>
      </c>
      <c r="I120" s="78">
        <v>0.45833333333333298</v>
      </c>
      <c r="J120" s="79">
        <v>11</v>
      </c>
      <c r="K120" s="6">
        <f>'Step 2 - Facility Data Inputs'!H34</f>
        <v>0</v>
      </c>
      <c r="L120" s="179">
        <f t="shared" si="61"/>
        <v>0</v>
      </c>
      <c r="M120" s="72">
        <f t="shared" si="73"/>
        <v>0</v>
      </c>
      <c r="N120" s="72">
        <f t="shared" si="80"/>
        <v>0</v>
      </c>
      <c r="O120" s="72">
        <f t="shared" si="74"/>
        <v>0</v>
      </c>
      <c r="P120" s="83" t="e">
        <f t="shared" si="62"/>
        <v>#DIV/0!</v>
      </c>
      <c r="Q120" s="83" t="e">
        <f t="shared" si="63"/>
        <v>#DIV/0!</v>
      </c>
      <c r="R120" s="83" t="e">
        <f t="shared" si="64"/>
        <v>#DIV/0!</v>
      </c>
      <c r="S120" s="10">
        <f t="shared" si="65"/>
        <v>0</v>
      </c>
      <c r="T120" s="10">
        <f t="shared" si="75"/>
        <v>0</v>
      </c>
      <c r="U120" s="10">
        <f t="shared" si="76"/>
        <v>0</v>
      </c>
      <c r="V120" s="10">
        <f t="shared" si="77"/>
        <v>0</v>
      </c>
      <c r="W120" s="11" t="e">
        <f t="shared" si="66"/>
        <v>#DIV/0!</v>
      </c>
      <c r="X120" s="11">
        <f t="shared" si="67"/>
        <v>0</v>
      </c>
      <c r="Y120" s="83">
        <f t="shared" si="68"/>
        <v>0</v>
      </c>
      <c r="Z120" s="10">
        <f t="shared" si="81"/>
        <v>0</v>
      </c>
      <c r="AA120" s="11" t="e">
        <f t="shared" si="70"/>
        <v>#DIV/0!</v>
      </c>
      <c r="AB120" s="11" t="e">
        <f t="shared" si="71"/>
        <v>#DIV/0!</v>
      </c>
      <c r="AC120" s="11" t="e">
        <f t="shared" si="78"/>
        <v>#DIV/0!</v>
      </c>
      <c r="AD120" s="11" t="e">
        <f t="shared" si="79"/>
        <v>#DIV/0!</v>
      </c>
      <c r="AE120" s="20"/>
    </row>
    <row r="121" spans="1:33" x14ac:dyDescent="0.25">
      <c r="A121" s="272"/>
      <c r="B121" s="122"/>
      <c r="C121" s="117"/>
      <c r="D121" s="2"/>
      <c r="E121" s="2"/>
      <c r="F121" s="38"/>
      <c r="H121" s="88">
        <v>12</v>
      </c>
      <c r="I121" s="78">
        <v>0.5</v>
      </c>
      <c r="J121" s="79">
        <v>12</v>
      </c>
      <c r="K121" s="6">
        <f>'Step 2 - Facility Data Inputs'!H35</f>
        <v>0</v>
      </c>
      <c r="L121" s="179">
        <f t="shared" si="61"/>
        <v>0</v>
      </c>
      <c r="M121" s="72">
        <f t="shared" si="73"/>
        <v>0</v>
      </c>
      <c r="N121" s="72">
        <f t="shared" si="80"/>
        <v>0</v>
      </c>
      <c r="O121" s="72">
        <f t="shared" si="74"/>
        <v>0</v>
      </c>
      <c r="P121" s="83" t="e">
        <f t="shared" si="62"/>
        <v>#DIV/0!</v>
      </c>
      <c r="Q121" s="83" t="e">
        <f t="shared" si="63"/>
        <v>#DIV/0!</v>
      </c>
      <c r="R121" s="83" t="e">
        <f t="shared" si="64"/>
        <v>#DIV/0!</v>
      </c>
      <c r="S121" s="10">
        <f t="shared" si="65"/>
        <v>0</v>
      </c>
      <c r="T121" s="10">
        <f t="shared" si="75"/>
        <v>0</v>
      </c>
      <c r="U121" s="10">
        <f t="shared" si="76"/>
        <v>0</v>
      </c>
      <c r="V121" s="10">
        <f t="shared" si="77"/>
        <v>0</v>
      </c>
      <c r="W121" s="11" t="e">
        <f t="shared" si="66"/>
        <v>#DIV/0!</v>
      </c>
      <c r="X121" s="11">
        <f t="shared" si="67"/>
        <v>0</v>
      </c>
      <c r="Y121" s="83">
        <f t="shared" si="68"/>
        <v>0</v>
      </c>
      <c r="Z121" s="10">
        <f t="shared" si="81"/>
        <v>0</v>
      </c>
      <c r="AA121" s="11" t="e">
        <f t="shared" si="70"/>
        <v>#DIV/0!</v>
      </c>
      <c r="AB121" s="11" t="e">
        <f t="shared" si="71"/>
        <v>#DIV/0!</v>
      </c>
      <c r="AC121" s="11" t="e">
        <f t="shared" si="78"/>
        <v>#DIV/0!</v>
      </c>
      <c r="AD121" s="11" t="e">
        <f t="shared" si="79"/>
        <v>#DIV/0!</v>
      </c>
      <c r="AE121" s="20"/>
      <c r="AF121" s="4" t="s">
        <v>59</v>
      </c>
      <c r="AG121" s="3" t="e">
        <f>W133</f>
        <v>#DIV/0!</v>
      </c>
    </row>
    <row r="122" spans="1:33" ht="13.8" x14ac:dyDescent="0.25">
      <c r="A122" s="272"/>
      <c r="B122" s="122"/>
      <c r="C122" s="164" t="s">
        <v>896</v>
      </c>
      <c r="D122" s="2"/>
      <c r="E122" s="2"/>
      <c r="F122" s="38"/>
      <c r="H122" s="88">
        <v>13</v>
      </c>
      <c r="I122" s="78">
        <v>0.54166666666666696</v>
      </c>
      <c r="J122" s="79">
        <v>13</v>
      </c>
      <c r="K122" s="6">
        <f>'Step 2 - Facility Data Inputs'!H36</f>
        <v>0</v>
      </c>
      <c r="L122" s="179">
        <f t="shared" si="61"/>
        <v>0</v>
      </c>
      <c r="M122" s="72">
        <f t="shared" si="73"/>
        <v>0</v>
      </c>
      <c r="N122" s="72">
        <f t="shared" si="80"/>
        <v>0</v>
      </c>
      <c r="O122" s="72">
        <f t="shared" si="74"/>
        <v>0</v>
      </c>
      <c r="P122" s="83" t="e">
        <f t="shared" si="62"/>
        <v>#DIV/0!</v>
      </c>
      <c r="Q122" s="83" t="e">
        <f t="shared" si="63"/>
        <v>#DIV/0!</v>
      </c>
      <c r="R122" s="83" t="e">
        <f t="shared" si="64"/>
        <v>#DIV/0!</v>
      </c>
      <c r="S122" s="10">
        <f t="shared" si="65"/>
        <v>0</v>
      </c>
      <c r="T122" s="10">
        <f t="shared" si="75"/>
        <v>0</v>
      </c>
      <c r="U122" s="10">
        <f t="shared" si="76"/>
        <v>0</v>
      </c>
      <c r="V122" s="10">
        <f t="shared" si="77"/>
        <v>0</v>
      </c>
      <c r="W122" s="11" t="e">
        <f t="shared" si="66"/>
        <v>#DIV/0!</v>
      </c>
      <c r="X122" s="11">
        <f t="shared" si="67"/>
        <v>0</v>
      </c>
      <c r="Y122" s="83">
        <f t="shared" si="68"/>
        <v>0</v>
      </c>
      <c r="Z122" s="10">
        <f t="shared" si="81"/>
        <v>0</v>
      </c>
      <c r="AA122" s="11" t="e">
        <f t="shared" si="70"/>
        <v>#DIV/0!</v>
      </c>
      <c r="AB122" s="11" t="e">
        <f t="shared" si="71"/>
        <v>#DIV/0!</v>
      </c>
      <c r="AC122" s="11" t="e">
        <f t="shared" si="78"/>
        <v>#DIV/0!</v>
      </c>
      <c r="AD122" s="11" t="e">
        <f t="shared" si="79"/>
        <v>#DIV/0!</v>
      </c>
      <c r="AE122" s="20"/>
    </row>
    <row r="123" spans="1:33" x14ac:dyDescent="0.25">
      <c r="A123" s="272"/>
      <c r="B123" s="122"/>
      <c r="C123" s="114" t="s">
        <v>899</v>
      </c>
      <c r="D123" s="118" t="s">
        <v>895</v>
      </c>
      <c r="E123" s="118" t="s">
        <v>898</v>
      </c>
      <c r="F123" s="119" t="s">
        <v>897</v>
      </c>
      <c r="H123" s="88">
        <v>14</v>
      </c>
      <c r="I123" s="78">
        <v>0.58333333333333304</v>
      </c>
      <c r="J123" s="79">
        <v>14</v>
      </c>
      <c r="K123" s="6">
        <f>'Step 2 - Facility Data Inputs'!H37</f>
        <v>0</v>
      </c>
      <c r="L123" s="179">
        <f t="shared" si="61"/>
        <v>0</v>
      </c>
      <c r="M123" s="72">
        <f t="shared" si="73"/>
        <v>0</v>
      </c>
      <c r="N123" s="72">
        <f t="shared" si="80"/>
        <v>0</v>
      </c>
      <c r="O123" s="72">
        <f t="shared" si="74"/>
        <v>0</v>
      </c>
      <c r="P123" s="83" t="e">
        <f t="shared" si="62"/>
        <v>#DIV/0!</v>
      </c>
      <c r="Q123" s="83" t="e">
        <f t="shared" si="63"/>
        <v>#DIV/0!</v>
      </c>
      <c r="R123" s="83" t="e">
        <f t="shared" si="64"/>
        <v>#DIV/0!</v>
      </c>
      <c r="S123" s="10">
        <f t="shared" si="65"/>
        <v>0</v>
      </c>
      <c r="T123" s="10">
        <f t="shared" si="75"/>
        <v>0</v>
      </c>
      <c r="U123" s="10">
        <f t="shared" si="76"/>
        <v>0</v>
      </c>
      <c r="V123" s="10">
        <f t="shared" si="77"/>
        <v>0</v>
      </c>
      <c r="W123" s="11" t="e">
        <f t="shared" si="66"/>
        <v>#DIV/0!</v>
      </c>
      <c r="X123" s="11">
        <f t="shared" si="67"/>
        <v>0</v>
      </c>
      <c r="Y123" s="83">
        <f t="shared" si="68"/>
        <v>0</v>
      </c>
      <c r="Z123" s="10">
        <f t="shared" si="81"/>
        <v>0</v>
      </c>
      <c r="AA123" s="11" t="e">
        <f t="shared" si="70"/>
        <v>#DIV/0!</v>
      </c>
      <c r="AB123" s="11" t="e">
        <f t="shared" si="71"/>
        <v>#DIV/0!</v>
      </c>
      <c r="AC123" s="11" t="e">
        <f t="shared" si="78"/>
        <v>#DIV/0!</v>
      </c>
      <c r="AD123" s="11" t="e">
        <f t="shared" si="79"/>
        <v>#DIV/0!</v>
      </c>
      <c r="AE123" s="20"/>
    </row>
    <row r="124" spans="1:33" x14ac:dyDescent="0.25">
      <c r="A124" s="272"/>
      <c r="B124" s="122"/>
      <c r="C124" s="114" t="s">
        <v>903</v>
      </c>
      <c r="D124" s="112" t="e">
        <f>P133</f>
        <v>#DIV/0!</v>
      </c>
      <c r="E124" s="112" t="e">
        <f>AA133</f>
        <v>#DIV/0!</v>
      </c>
      <c r="F124" s="112" t="e">
        <f>W133</f>
        <v>#DIV/0!</v>
      </c>
      <c r="H124" s="88">
        <v>15</v>
      </c>
      <c r="I124" s="78">
        <v>0.625</v>
      </c>
      <c r="J124" s="79">
        <v>15</v>
      </c>
      <c r="K124" s="6">
        <f>'Step 2 - Facility Data Inputs'!H38</f>
        <v>0</v>
      </c>
      <c r="L124" s="179">
        <f t="shared" si="61"/>
        <v>0</v>
      </c>
      <c r="M124" s="72">
        <f t="shared" si="73"/>
        <v>0</v>
      </c>
      <c r="N124" s="72">
        <f t="shared" si="80"/>
        <v>0</v>
      </c>
      <c r="O124" s="72">
        <f t="shared" si="74"/>
        <v>0</v>
      </c>
      <c r="P124" s="83" t="e">
        <f t="shared" si="62"/>
        <v>#DIV/0!</v>
      </c>
      <c r="Q124" s="83" t="e">
        <f t="shared" si="63"/>
        <v>#DIV/0!</v>
      </c>
      <c r="R124" s="83" t="e">
        <f t="shared" si="64"/>
        <v>#DIV/0!</v>
      </c>
      <c r="S124" s="10">
        <f t="shared" si="65"/>
        <v>0</v>
      </c>
      <c r="T124" s="10">
        <f t="shared" si="75"/>
        <v>0</v>
      </c>
      <c r="U124" s="10">
        <f t="shared" si="76"/>
        <v>0</v>
      </c>
      <c r="V124" s="10">
        <f t="shared" si="77"/>
        <v>0</v>
      </c>
      <c r="W124" s="11" t="e">
        <f t="shared" si="66"/>
        <v>#DIV/0!</v>
      </c>
      <c r="X124" s="11">
        <f t="shared" si="67"/>
        <v>0</v>
      </c>
      <c r="Y124" s="83">
        <f t="shared" si="68"/>
        <v>0</v>
      </c>
      <c r="Z124" s="10">
        <f t="shared" si="81"/>
        <v>0</v>
      </c>
      <c r="AA124" s="11" t="e">
        <f t="shared" si="70"/>
        <v>#DIV/0!</v>
      </c>
      <c r="AB124" s="11" t="e">
        <f t="shared" si="71"/>
        <v>#DIV/0!</v>
      </c>
      <c r="AC124" s="11" t="e">
        <f t="shared" si="78"/>
        <v>#DIV/0!</v>
      </c>
      <c r="AD124" s="11" t="e">
        <f t="shared" si="79"/>
        <v>#DIV/0!</v>
      </c>
      <c r="AE124" s="20"/>
    </row>
    <row r="125" spans="1:33" x14ac:dyDescent="0.25">
      <c r="A125" s="272"/>
      <c r="B125" s="122"/>
      <c r="C125" s="114" t="s">
        <v>904</v>
      </c>
      <c r="D125" s="113" t="e">
        <f>Q133</f>
        <v>#DIV/0!</v>
      </c>
      <c r="E125" s="113" t="e">
        <f>AB133</f>
        <v>#DIV/0!</v>
      </c>
      <c r="F125" s="113">
        <f>X133</f>
        <v>0</v>
      </c>
      <c r="H125" s="88">
        <v>16</v>
      </c>
      <c r="I125" s="78">
        <v>0.66666666666666696</v>
      </c>
      <c r="J125" s="79">
        <v>16</v>
      </c>
      <c r="K125" s="6">
        <f>'Step 2 - Facility Data Inputs'!H39</f>
        <v>0</v>
      </c>
      <c r="L125" s="179">
        <f t="shared" si="61"/>
        <v>0</v>
      </c>
      <c r="M125" s="72">
        <f t="shared" si="73"/>
        <v>0</v>
      </c>
      <c r="N125" s="72">
        <f t="shared" si="80"/>
        <v>0</v>
      </c>
      <c r="O125" s="72">
        <f t="shared" si="74"/>
        <v>0</v>
      </c>
      <c r="P125" s="83" t="e">
        <f t="shared" si="62"/>
        <v>#DIV/0!</v>
      </c>
      <c r="Q125" s="83" t="e">
        <f t="shared" si="63"/>
        <v>#DIV/0!</v>
      </c>
      <c r="R125" s="83" t="e">
        <f t="shared" si="64"/>
        <v>#DIV/0!</v>
      </c>
      <c r="S125" s="10">
        <f t="shared" si="65"/>
        <v>0</v>
      </c>
      <c r="T125" s="10">
        <f t="shared" si="75"/>
        <v>0</v>
      </c>
      <c r="U125" s="10">
        <f t="shared" si="76"/>
        <v>0</v>
      </c>
      <c r="V125" s="10">
        <f t="shared" si="77"/>
        <v>0</v>
      </c>
      <c r="W125" s="11" t="e">
        <f t="shared" si="66"/>
        <v>#DIV/0!</v>
      </c>
      <c r="X125" s="11">
        <f t="shared" si="67"/>
        <v>0</v>
      </c>
      <c r="Y125" s="83">
        <f t="shared" si="68"/>
        <v>0</v>
      </c>
      <c r="Z125" s="10">
        <f t="shared" si="81"/>
        <v>0</v>
      </c>
      <c r="AA125" s="11" t="e">
        <f t="shared" si="70"/>
        <v>#DIV/0!</v>
      </c>
      <c r="AB125" s="11" t="e">
        <f t="shared" si="71"/>
        <v>#DIV/0!</v>
      </c>
      <c r="AC125" s="11" t="e">
        <f t="shared" si="78"/>
        <v>#DIV/0!</v>
      </c>
      <c r="AD125" s="11" t="e">
        <f t="shared" si="79"/>
        <v>#DIV/0!</v>
      </c>
      <c r="AE125" s="20"/>
    </row>
    <row r="126" spans="1:33" x14ac:dyDescent="0.25">
      <c r="A126" s="272"/>
      <c r="B126" s="122"/>
      <c r="C126" s="114" t="s">
        <v>905</v>
      </c>
      <c r="D126" s="115" t="e">
        <f>R134</f>
        <v>#DIV/0!</v>
      </c>
      <c r="E126" s="115" t="e">
        <f>AD134</f>
        <v>#DIV/0!</v>
      </c>
      <c r="F126" s="115" t="e">
        <f>Y134</f>
        <v>#DIV/0!</v>
      </c>
      <c r="H126" s="88">
        <v>17</v>
      </c>
      <c r="I126" s="78">
        <v>0.70833333333333304</v>
      </c>
      <c r="J126" s="79">
        <v>17</v>
      </c>
      <c r="K126" s="6">
        <f>'Step 2 - Facility Data Inputs'!H40</f>
        <v>0</v>
      </c>
      <c r="L126" s="179">
        <f t="shared" si="61"/>
        <v>0</v>
      </c>
      <c r="M126" s="72">
        <f t="shared" si="73"/>
        <v>0</v>
      </c>
      <c r="N126" s="72">
        <f t="shared" si="80"/>
        <v>0</v>
      </c>
      <c r="O126" s="72">
        <f t="shared" si="74"/>
        <v>0</v>
      </c>
      <c r="P126" s="83" t="e">
        <f t="shared" si="62"/>
        <v>#DIV/0!</v>
      </c>
      <c r="Q126" s="83" t="e">
        <f t="shared" si="63"/>
        <v>#DIV/0!</v>
      </c>
      <c r="R126" s="83" t="e">
        <f t="shared" si="64"/>
        <v>#DIV/0!</v>
      </c>
      <c r="S126" s="10">
        <f t="shared" si="65"/>
        <v>0</v>
      </c>
      <c r="T126" s="10">
        <f t="shared" si="75"/>
        <v>0</v>
      </c>
      <c r="U126" s="10">
        <f t="shared" si="76"/>
        <v>0</v>
      </c>
      <c r="V126" s="10">
        <f t="shared" si="77"/>
        <v>0</v>
      </c>
      <c r="W126" s="11" t="e">
        <f t="shared" si="66"/>
        <v>#DIV/0!</v>
      </c>
      <c r="X126" s="11">
        <f t="shared" si="67"/>
        <v>0</v>
      </c>
      <c r="Y126" s="83">
        <f t="shared" si="68"/>
        <v>0</v>
      </c>
      <c r="Z126" s="10">
        <f t="shared" si="81"/>
        <v>0</v>
      </c>
      <c r="AA126" s="11" t="e">
        <f t="shared" si="70"/>
        <v>#DIV/0!</v>
      </c>
      <c r="AB126" s="11" t="e">
        <f t="shared" si="71"/>
        <v>#DIV/0!</v>
      </c>
      <c r="AC126" s="11" t="e">
        <f t="shared" si="78"/>
        <v>#DIV/0!</v>
      </c>
      <c r="AD126" s="11" t="e">
        <f t="shared" si="79"/>
        <v>#DIV/0!</v>
      </c>
      <c r="AE126" s="20"/>
    </row>
    <row r="127" spans="1:33" ht="13.8" thickBot="1" x14ac:dyDescent="0.3">
      <c r="A127" s="273"/>
      <c r="B127" s="161"/>
      <c r="C127" s="162"/>
      <c r="D127" s="162"/>
      <c r="E127" s="162"/>
      <c r="F127" s="12"/>
      <c r="H127" s="88">
        <v>18</v>
      </c>
      <c r="I127" s="78">
        <v>0.75</v>
      </c>
      <c r="J127" s="79">
        <v>18</v>
      </c>
      <c r="K127" s="6">
        <f>'Step 2 - Facility Data Inputs'!H41</f>
        <v>0</v>
      </c>
      <c r="L127" s="179">
        <f t="shared" si="61"/>
        <v>0</v>
      </c>
      <c r="M127" s="72">
        <f t="shared" si="73"/>
        <v>0</v>
      </c>
      <c r="N127" s="72">
        <f t="shared" si="80"/>
        <v>0</v>
      </c>
      <c r="O127" s="72">
        <f t="shared" si="74"/>
        <v>0</v>
      </c>
      <c r="P127" s="83" t="e">
        <f t="shared" si="62"/>
        <v>#DIV/0!</v>
      </c>
      <c r="Q127" s="83" t="e">
        <f t="shared" si="63"/>
        <v>#DIV/0!</v>
      </c>
      <c r="R127" s="83" t="e">
        <f t="shared" si="64"/>
        <v>#DIV/0!</v>
      </c>
      <c r="S127" s="10">
        <f t="shared" si="65"/>
        <v>0</v>
      </c>
      <c r="T127" s="10">
        <f t="shared" si="75"/>
        <v>0</v>
      </c>
      <c r="U127" s="10">
        <f t="shared" si="76"/>
        <v>0</v>
      </c>
      <c r="V127" s="10">
        <f t="shared" si="77"/>
        <v>0</v>
      </c>
      <c r="W127" s="11" t="e">
        <f t="shared" si="66"/>
        <v>#DIV/0!</v>
      </c>
      <c r="X127" s="11">
        <f t="shared" si="67"/>
        <v>0</v>
      </c>
      <c r="Y127" s="83">
        <f t="shared" si="68"/>
        <v>0</v>
      </c>
      <c r="Z127" s="10">
        <f t="shared" si="81"/>
        <v>0</v>
      </c>
      <c r="AA127" s="11" t="e">
        <f t="shared" si="70"/>
        <v>#DIV/0!</v>
      </c>
      <c r="AB127" s="11" t="e">
        <f t="shared" si="71"/>
        <v>#DIV/0!</v>
      </c>
      <c r="AC127" s="11" t="e">
        <f t="shared" si="78"/>
        <v>#DIV/0!</v>
      </c>
      <c r="AD127" s="11" t="e">
        <f t="shared" si="79"/>
        <v>#DIV/0!</v>
      </c>
      <c r="AE127" s="20"/>
    </row>
    <row r="128" spans="1:33" x14ac:dyDescent="0.25">
      <c r="H128" s="88">
        <v>19</v>
      </c>
      <c r="I128" s="78">
        <v>0.79166666666666696</v>
      </c>
      <c r="J128" s="79">
        <v>19</v>
      </c>
      <c r="K128" s="6">
        <f>'Step 2 - Facility Data Inputs'!H42</f>
        <v>0</v>
      </c>
      <c r="L128" s="179">
        <f t="shared" si="61"/>
        <v>0</v>
      </c>
      <c r="M128" s="72">
        <f t="shared" si="73"/>
        <v>0</v>
      </c>
      <c r="N128" s="72">
        <f t="shared" si="80"/>
        <v>0</v>
      </c>
      <c r="O128" s="72">
        <f t="shared" si="74"/>
        <v>0</v>
      </c>
      <c r="P128" s="83" t="e">
        <f t="shared" si="62"/>
        <v>#DIV/0!</v>
      </c>
      <c r="Q128" s="83" t="e">
        <f t="shared" si="63"/>
        <v>#DIV/0!</v>
      </c>
      <c r="R128" s="83" t="e">
        <f t="shared" si="64"/>
        <v>#DIV/0!</v>
      </c>
      <c r="S128" s="10">
        <f t="shared" si="65"/>
        <v>0</v>
      </c>
      <c r="T128" s="10">
        <f t="shared" si="75"/>
        <v>0</v>
      </c>
      <c r="U128" s="10">
        <f>IF((K128&lt;S128),IF((S128-K128)&gt;V127,V127+K128+U127,S128+U127),(S128+U127))</f>
        <v>0</v>
      </c>
      <c r="V128" s="10">
        <f t="shared" si="77"/>
        <v>0</v>
      </c>
      <c r="W128" s="11" t="e">
        <f t="shared" si="66"/>
        <v>#DIV/0!</v>
      </c>
      <c r="X128" s="11">
        <f t="shared" si="67"/>
        <v>0</v>
      </c>
      <c r="Y128" s="83">
        <f t="shared" si="68"/>
        <v>0</v>
      </c>
      <c r="Z128" s="10">
        <f t="shared" si="81"/>
        <v>0</v>
      </c>
      <c r="AA128" s="11" t="e">
        <f t="shared" si="70"/>
        <v>#DIV/0!</v>
      </c>
      <c r="AB128" s="11" t="e">
        <f t="shared" si="71"/>
        <v>#DIV/0!</v>
      </c>
      <c r="AC128" s="11" t="e">
        <f t="shared" si="78"/>
        <v>#DIV/0!</v>
      </c>
      <c r="AD128" s="11" t="e">
        <f t="shared" si="79"/>
        <v>#DIV/0!</v>
      </c>
      <c r="AE128" s="20"/>
    </row>
    <row r="129" spans="1:33" x14ac:dyDescent="0.25">
      <c r="H129" s="88">
        <v>20</v>
      </c>
      <c r="I129" s="78">
        <v>0.83333333333333304</v>
      </c>
      <c r="J129" s="79">
        <v>20</v>
      </c>
      <c r="K129" s="6">
        <f>'Step 2 - Facility Data Inputs'!H43</f>
        <v>0</v>
      </c>
      <c r="L129" s="179">
        <f t="shared" si="61"/>
        <v>0</v>
      </c>
      <c r="M129" s="72">
        <f t="shared" si="73"/>
        <v>0</v>
      </c>
      <c r="N129" s="72">
        <f t="shared" si="80"/>
        <v>0</v>
      </c>
      <c r="O129" s="72">
        <f t="shared" si="74"/>
        <v>0</v>
      </c>
      <c r="P129" s="83" t="e">
        <f t="shared" si="62"/>
        <v>#DIV/0!</v>
      </c>
      <c r="Q129" s="83" t="e">
        <f t="shared" si="63"/>
        <v>#DIV/0!</v>
      </c>
      <c r="R129" s="83" t="e">
        <f t="shared" si="64"/>
        <v>#DIV/0!</v>
      </c>
      <c r="S129" s="10">
        <f t="shared" si="65"/>
        <v>0</v>
      </c>
      <c r="T129" s="10">
        <f t="shared" si="75"/>
        <v>0</v>
      </c>
      <c r="U129" s="10">
        <f t="shared" ref="U129:U132" si="82">IF((K129&lt;S129),IF((S129-K129)&gt;V128,V128+K129+U128,S129+U128),(S129+U128))</f>
        <v>0</v>
      </c>
      <c r="V129" s="10">
        <f t="shared" si="77"/>
        <v>0</v>
      </c>
      <c r="W129" s="11" t="e">
        <f t="shared" si="66"/>
        <v>#DIV/0!</v>
      </c>
      <c r="X129" s="11">
        <f t="shared" si="67"/>
        <v>0</v>
      </c>
      <c r="Y129" s="83">
        <f t="shared" si="68"/>
        <v>0</v>
      </c>
      <c r="Z129" s="10">
        <f t="shared" si="81"/>
        <v>0</v>
      </c>
      <c r="AA129" s="11" t="e">
        <f t="shared" si="70"/>
        <v>#DIV/0!</v>
      </c>
      <c r="AB129" s="11" t="e">
        <f t="shared" si="71"/>
        <v>#DIV/0!</v>
      </c>
      <c r="AC129" s="11" t="e">
        <f t="shared" si="78"/>
        <v>#DIV/0!</v>
      </c>
      <c r="AD129" s="11" t="e">
        <f t="shared" si="79"/>
        <v>#DIV/0!</v>
      </c>
      <c r="AE129" s="20"/>
    </row>
    <row r="130" spans="1:33" x14ac:dyDescent="0.25">
      <c r="H130" s="88">
        <v>21</v>
      </c>
      <c r="I130" s="78">
        <v>0.875</v>
      </c>
      <c r="J130" s="79">
        <v>21</v>
      </c>
      <c r="K130" s="6">
        <f>'Step 2 - Facility Data Inputs'!H44</f>
        <v>0</v>
      </c>
      <c r="L130" s="179">
        <f t="shared" si="61"/>
        <v>0</v>
      </c>
      <c r="M130" s="72">
        <f t="shared" si="73"/>
        <v>0</v>
      </c>
      <c r="N130" s="72">
        <f t="shared" si="80"/>
        <v>0</v>
      </c>
      <c r="O130" s="72">
        <f t="shared" si="74"/>
        <v>0</v>
      </c>
      <c r="P130" s="83" t="e">
        <f t="shared" si="62"/>
        <v>#DIV/0!</v>
      </c>
      <c r="Q130" s="83" t="e">
        <f t="shared" si="63"/>
        <v>#DIV/0!</v>
      </c>
      <c r="R130" s="83" t="e">
        <f t="shared" si="64"/>
        <v>#DIV/0!</v>
      </c>
      <c r="S130" s="10">
        <f t="shared" si="65"/>
        <v>0</v>
      </c>
      <c r="T130" s="10">
        <f t="shared" si="75"/>
        <v>0</v>
      </c>
      <c r="U130" s="10">
        <f t="shared" si="82"/>
        <v>0</v>
      </c>
      <c r="V130" s="10">
        <f t="shared" si="77"/>
        <v>0</v>
      </c>
      <c r="W130" s="11" t="e">
        <f t="shared" si="66"/>
        <v>#DIV/0!</v>
      </c>
      <c r="X130" s="11">
        <f t="shared" si="67"/>
        <v>0</v>
      </c>
      <c r="Y130" s="83">
        <f t="shared" si="68"/>
        <v>0</v>
      </c>
      <c r="Z130" s="10">
        <f t="shared" si="81"/>
        <v>0</v>
      </c>
      <c r="AA130" s="11" t="e">
        <f t="shared" si="70"/>
        <v>#DIV/0!</v>
      </c>
      <c r="AB130" s="11" t="e">
        <f t="shared" si="71"/>
        <v>#DIV/0!</v>
      </c>
      <c r="AC130" s="11" t="e">
        <f t="shared" si="78"/>
        <v>#DIV/0!</v>
      </c>
      <c r="AD130" s="11" t="e">
        <f t="shared" si="79"/>
        <v>#DIV/0!</v>
      </c>
      <c r="AE130" s="20"/>
    </row>
    <row r="131" spans="1:33" x14ac:dyDescent="0.25">
      <c r="H131" s="88">
        <v>22</v>
      </c>
      <c r="I131" s="78">
        <v>0.91666666666666696</v>
      </c>
      <c r="J131" s="79">
        <v>22</v>
      </c>
      <c r="K131" s="6">
        <f>'Step 2 - Facility Data Inputs'!H45</f>
        <v>0</v>
      </c>
      <c r="L131" s="179">
        <f t="shared" si="61"/>
        <v>0</v>
      </c>
      <c r="M131" s="72">
        <f t="shared" si="73"/>
        <v>0</v>
      </c>
      <c r="N131" s="72">
        <f t="shared" si="80"/>
        <v>0</v>
      </c>
      <c r="O131" s="72">
        <f t="shared" si="74"/>
        <v>0</v>
      </c>
      <c r="P131" s="83" t="e">
        <f t="shared" si="62"/>
        <v>#DIV/0!</v>
      </c>
      <c r="Q131" s="83" t="e">
        <f t="shared" si="63"/>
        <v>#DIV/0!</v>
      </c>
      <c r="R131" s="83" t="e">
        <f t="shared" si="64"/>
        <v>#DIV/0!</v>
      </c>
      <c r="S131" s="10">
        <f t="shared" si="65"/>
        <v>0</v>
      </c>
      <c r="T131" s="10">
        <f t="shared" si="75"/>
        <v>0</v>
      </c>
      <c r="U131" s="10">
        <f t="shared" si="82"/>
        <v>0</v>
      </c>
      <c r="V131" s="10">
        <f t="shared" si="77"/>
        <v>0</v>
      </c>
      <c r="W131" s="11" t="e">
        <f t="shared" si="66"/>
        <v>#DIV/0!</v>
      </c>
      <c r="X131" s="11">
        <f t="shared" si="67"/>
        <v>0</v>
      </c>
      <c r="Y131" s="83">
        <f t="shared" si="68"/>
        <v>0</v>
      </c>
      <c r="Z131" s="10">
        <f t="shared" si="81"/>
        <v>0</v>
      </c>
      <c r="AA131" s="11" t="e">
        <f t="shared" si="70"/>
        <v>#DIV/0!</v>
      </c>
      <c r="AB131" s="11" t="e">
        <f t="shared" si="71"/>
        <v>#DIV/0!</v>
      </c>
      <c r="AC131" s="11" t="e">
        <f t="shared" si="78"/>
        <v>#DIV/0!</v>
      </c>
      <c r="AD131" s="11" t="e">
        <f t="shared" si="79"/>
        <v>#DIV/0!</v>
      </c>
      <c r="AE131" s="20"/>
    </row>
    <row r="132" spans="1:33" ht="13.8" thickBot="1" x14ac:dyDescent="0.3">
      <c r="H132" s="89">
        <v>23</v>
      </c>
      <c r="I132" s="78">
        <v>0.95833333333333304</v>
      </c>
      <c r="J132" s="79">
        <v>23</v>
      </c>
      <c r="K132" s="6">
        <f>'Step 2 - Facility Data Inputs'!H46</f>
        <v>0</v>
      </c>
      <c r="L132" s="179">
        <f t="shared" si="61"/>
        <v>0</v>
      </c>
      <c r="M132" s="72">
        <f t="shared" si="73"/>
        <v>0</v>
      </c>
      <c r="N132" s="72">
        <f t="shared" si="80"/>
        <v>0</v>
      </c>
      <c r="O132" s="72">
        <f t="shared" si="74"/>
        <v>0</v>
      </c>
      <c r="P132" s="83" t="e">
        <f t="shared" si="62"/>
        <v>#DIV/0!</v>
      </c>
      <c r="Q132" s="83" t="e">
        <f t="shared" si="63"/>
        <v>#DIV/0!</v>
      </c>
      <c r="R132" s="83" t="e">
        <f t="shared" si="64"/>
        <v>#DIV/0!</v>
      </c>
      <c r="S132" s="10">
        <f t="shared" si="65"/>
        <v>0</v>
      </c>
      <c r="T132" s="13">
        <f t="shared" si="75"/>
        <v>0</v>
      </c>
      <c r="U132" s="10">
        <f t="shared" si="82"/>
        <v>0</v>
      </c>
      <c r="V132" s="13">
        <f t="shared" si="77"/>
        <v>0</v>
      </c>
      <c r="W132" s="11" t="e">
        <f t="shared" si="66"/>
        <v>#DIV/0!</v>
      </c>
      <c r="X132" s="11">
        <f t="shared" si="67"/>
        <v>0</v>
      </c>
      <c r="Y132" s="83">
        <f t="shared" si="68"/>
        <v>0</v>
      </c>
      <c r="Z132" s="13">
        <f t="shared" si="81"/>
        <v>0</v>
      </c>
      <c r="AA132" s="14" t="e">
        <f t="shared" si="70"/>
        <v>#DIV/0!</v>
      </c>
      <c r="AB132" s="11" t="e">
        <f t="shared" si="71"/>
        <v>#DIV/0!</v>
      </c>
      <c r="AC132" s="11" t="e">
        <f>IF((X132-Q132)=0,IF(OR(AB131&lt;&gt;0,AB109&lt;&gt;0),0,NA()),X132)</f>
        <v>#DIV/0!</v>
      </c>
      <c r="AD132" s="11" t="e">
        <f t="shared" si="79"/>
        <v>#DIV/0!</v>
      </c>
      <c r="AE132" s="20"/>
    </row>
    <row r="133" spans="1:33" x14ac:dyDescent="0.25">
      <c r="I133" s="5"/>
      <c r="J133" s="5"/>
      <c r="K133" s="5"/>
      <c r="L133" s="73"/>
      <c r="M133" s="73"/>
      <c r="N133" s="73"/>
      <c r="O133" s="73"/>
      <c r="P133" s="97" t="e">
        <f>MAX(P109:P132)</f>
        <v>#DIV/0!</v>
      </c>
      <c r="Q133" s="97" t="e">
        <f>MAX(Q109:Q132)</f>
        <v>#DIV/0!</v>
      </c>
      <c r="R133" s="97" t="e">
        <f>(SUM(R109:R132))</f>
        <v>#DIV/0!</v>
      </c>
      <c r="S133" s="5"/>
      <c r="T133" s="5"/>
      <c r="U133" s="5"/>
      <c r="V133" s="5"/>
      <c r="W133" s="87" t="e">
        <f>MAX(W109:W132)</f>
        <v>#DIV/0!</v>
      </c>
      <c r="X133" s="97">
        <f>MAX(X109:X132)</f>
        <v>0</v>
      </c>
      <c r="Y133" s="97">
        <f>ROUND(SUM(Y109:Y132),0)</f>
        <v>0</v>
      </c>
      <c r="Z133" s="19">
        <f>SUM(Z109:Z132)</f>
        <v>0</v>
      </c>
      <c r="AA133" s="97" t="e">
        <f>MAX(AA109:AA132)</f>
        <v>#DIV/0!</v>
      </c>
      <c r="AB133" s="97" t="e">
        <f>MAX(AB109:AB132)</f>
        <v>#DIV/0!</v>
      </c>
      <c r="AC133" s="97"/>
      <c r="AD133" s="97" t="e">
        <f>ROUND(SUM(AD109:AD132),0)</f>
        <v>#DIV/0!</v>
      </c>
      <c r="AE133" s="20"/>
    </row>
    <row r="134" spans="1:33" ht="24" customHeight="1" x14ac:dyDescent="0.25">
      <c r="I134" s="5"/>
      <c r="J134" s="5"/>
      <c r="K134" s="5"/>
      <c r="L134" s="73"/>
      <c r="M134" s="73"/>
      <c r="N134" s="73"/>
      <c r="O134" s="73"/>
      <c r="P134" s="73"/>
      <c r="Q134" s="73"/>
      <c r="R134" s="73" t="e">
        <f>IF(R133&lt;100,ROUND(R133,0),IF(R133&lt;1000,ROUND(R133,-1),ROUND(R133,-2)))</f>
        <v>#DIV/0!</v>
      </c>
      <c r="S134" s="5"/>
      <c r="T134" s="5"/>
      <c r="U134" s="5"/>
      <c r="V134" s="5"/>
      <c r="W134" s="5"/>
      <c r="X134" s="5"/>
      <c r="Y134" s="73" t="e">
        <f>AD134+R134</f>
        <v>#DIV/0!</v>
      </c>
      <c r="AD134" s="73" t="e">
        <f>IF(AD133&lt;100,ROUND(AD133,0),IF(AD133&lt;1000,ROUND(AD133,-1),ROUND(AD133,-2)))</f>
        <v>#DIV/0!</v>
      </c>
    </row>
    <row r="135" spans="1:33" ht="13.8" thickBot="1" x14ac:dyDescent="0.3"/>
    <row r="136" spans="1:33" ht="40.200000000000003" x14ac:dyDescent="0.3">
      <c r="A136" s="271" t="str">
        <f>'Step 2 - Facility Data Inputs'!I19</f>
        <v>Thursday</v>
      </c>
      <c r="B136" s="155"/>
      <c r="C136" s="156"/>
      <c r="D136" s="156"/>
      <c r="E136" s="157"/>
      <c r="F136" s="157"/>
      <c r="H136" s="7">
        <f>'Step 2 - Facility Data Inputs'!F107</f>
        <v>0</v>
      </c>
      <c r="I136" s="8" t="s">
        <v>2</v>
      </c>
      <c r="J136" s="8"/>
      <c r="K136" s="8" t="s">
        <v>5</v>
      </c>
      <c r="L136" s="92" t="s">
        <v>875</v>
      </c>
      <c r="M136" s="92" t="s">
        <v>877</v>
      </c>
      <c r="N136" s="92" t="s">
        <v>878</v>
      </c>
      <c r="O136" s="92" t="s">
        <v>879</v>
      </c>
      <c r="P136" s="92" t="s">
        <v>910</v>
      </c>
      <c r="Q136" s="92" t="s">
        <v>880</v>
      </c>
      <c r="R136" s="92" t="s">
        <v>882</v>
      </c>
      <c r="S136" s="93" t="s">
        <v>6</v>
      </c>
      <c r="T136" s="94" t="s">
        <v>9</v>
      </c>
      <c r="U136" s="94" t="s">
        <v>11</v>
      </c>
      <c r="V136" s="94" t="s">
        <v>8</v>
      </c>
      <c r="W136" s="9" t="s">
        <v>7</v>
      </c>
      <c r="X136" s="9" t="s">
        <v>924</v>
      </c>
      <c r="Y136" s="94" t="s">
        <v>883</v>
      </c>
      <c r="Z136" s="95" t="s">
        <v>881</v>
      </c>
      <c r="AA136" s="95" t="s">
        <v>908</v>
      </c>
      <c r="AB136" s="95" t="s">
        <v>909</v>
      </c>
      <c r="AC136" s="96" t="s">
        <v>911</v>
      </c>
      <c r="AD136" s="96" t="s">
        <v>884</v>
      </c>
    </row>
    <row r="137" spans="1:33" ht="13.8" x14ac:dyDescent="0.25">
      <c r="A137" s="272"/>
      <c r="B137" s="122"/>
      <c r="C137" s="164" t="s">
        <v>906</v>
      </c>
      <c r="D137" s="2"/>
      <c r="E137" s="2"/>
      <c r="F137" s="2"/>
      <c r="H137" s="2"/>
      <c r="I137" s="10"/>
      <c r="J137" s="10"/>
      <c r="K137" s="10"/>
      <c r="L137" s="72"/>
      <c r="M137" s="72"/>
      <c r="N137" s="72"/>
      <c r="O137" s="72"/>
      <c r="P137" s="72"/>
      <c r="Q137" s="72"/>
      <c r="R137" s="72"/>
      <c r="S137" s="10"/>
      <c r="T137" s="10"/>
      <c r="U137" s="10"/>
      <c r="V137" s="10"/>
      <c r="W137" s="10"/>
      <c r="X137" s="10"/>
      <c r="Y137" s="10"/>
      <c r="Z137" s="10"/>
      <c r="AA137" s="10"/>
      <c r="AB137" s="10"/>
      <c r="AC137" s="10"/>
      <c r="AD137" s="10"/>
      <c r="AF137" s="4" t="s">
        <v>60</v>
      </c>
      <c r="AG137" s="22">
        <f>G147</f>
        <v>0</v>
      </c>
    </row>
    <row r="138" spans="1:33" ht="92.4" x14ac:dyDescent="0.25">
      <c r="A138" s="272"/>
      <c r="B138" s="122"/>
      <c r="C138" s="121" t="s">
        <v>912</v>
      </c>
      <c r="D138" s="194">
        <f>'Step 3 - WZ Analysis'!D95</f>
        <v>1900</v>
      </c>
      <c r="E138" s="176" t="s">
        <v>919</v>
      </c>
      <c r="F138" s="167">
        <f>D138*$I$10</f>
        <v>0</v>
      </c>
      <c r="H138" s="88">
        <v>0</v>
      </c>
      <c r="I138" s="78">
        <v>0</v>
      </c>
      <c r="J138" s="79">
        <v>0</v>
      </c>
      <c r="K138" s="6">
        <f>'Step 2 - Facility Data Inputs'!I23</f>
        <v>0</v>
      </c>
      <c r="L138" s="179">
        <f>$F$138</f>
        <v>0</v>
      </c>
      <c r="M138" s="72">
        <f>K138</f>
        <v>0</v>
      </c>
      <c r="N138" s="179">
        <f>MIN(K138,L138)</f>
        <v>0</v>
      </c>
      <c r="O138" s="72">
        <f>M138-K138</f>
        <v>0</v>
      </c>
      <c r="P138" s="83" t="e">
        <f>O138*$I$12/(5280*$I$10)</f>
        <v>#DIV/0!</v>
      </c>
      <c r="Q138" s="83" t="e">
        <f>60*O138/L138</f>
        <v>#DIV/0!</v>
      </c>
      <c r="R138" s="83" t="e">
        <f>((O138*Q138)*$I$11*$J$16/(60))+((O138*Q138)*(1-$I$11)*$J$17/(60))</f>
        <v>#DIV/0!</v>
      </c>
      <c r="S138" s="10">
        <f>IF($AG$141-H139&gt;=0,IF($G$146="",$F$145,$G$146),IF(AND(H138&gt;=$AG$137,H138&lt;$AG$137+$AG$138),IF($G$146="",$F$145,$G$146),$F$138))</f>
        <v>0</v>
      </c>
      <c r="T138" s="10">
        <f>K138</f>
        <v>0</v>
      </c>
      <c r="U138" s="10">
        <f>MIN(K138,S138)</f>
        <v>0</v>
      </c>
      <c r="V138" s="10">
        <f>T138-K138</f>
        <v>0</v>
      </c>
      <c r="W138" s="11" t="e">
        <f>V138*$I$12/(5280*$I$10)</f>
        <v>#DIV/0!</v>
      </c>
      <c r="X138" s="11">
        <f>IF(S138=0,60*V138,60*V138/S138)</f>
        <v>0</v>
      </c>
      <c r="Y138" s="83">
        <f>((V138*X138)*$I$11*$J$16/(60))+((V138*X138)*(1-$I$11)*$J$17/(60))</f>
        <v>0</v>
      </c>
      <c r="Z138" s="10">
        <f>V138-O138</f>
        <v>0</v>
      </c>
      <c r="AA138" s="11" t="e">
        <f>W138-P138</f>
        <v>#DIV/0!</v>
      </c>
      <c r="AB138" s="11" t="e">
        <f>X138-Q138</f>
        <v>#DIV/0!</v>
      </c>
      <c r="AC138" s="11" t="e">
        <f>IF((X138-Q138)=0,IF(OR(AB161&lt;&gt;0,AB139&lt;&gt;0),0,NA()),X138)</f>
        <v>#DIV/0!</v>
      </c>
      <c r="AD138" s="11" t="e">
        <f>Y138-R138</f>
        <v>#DIV/0!</v>
      </c>
      <c r="AE138" s="20"/>
      <c r="AF138" s="4" t="s">
        <v>61</v>
      </c>
      <c r="AG138" s="21">
        <f>D149</f>
        <v>0</v>
      </c>
    </row>
    <row r="139" spans="1:33" x14ac:dyDescent="0.25">
      <c r="A139" s="272"/>
      <c r="B139" s="122"/>
      <c r="C139" s="2"/>
      <c r="D139" s="125"/>
      <c r="E139" s="2"/>
      <c r="F139" s="2"/>
      <c r="H139" s="88">
        <v>1</v>
      </c>
      <c r="I139" s="78">
        <v>4.1666666666666699E-2</v>
      </c>
      <c r="J139" s="79">
        <v>1</v>
      </c>
      <c r="K139" s="6">
        <f>'Step 2 - Facility Data Inputs'!I24</f>
        <v>0</v>
      </c>
      <c r="L139" s="179">
        <f t="shared" ref="L139:L161" si="83">$F$138</f>
        <v>0</v>
      </c>
      <c r="M139" s="72">
        <f>M138+K139</f>
        <v>0</v>
      </c>
      <c r="N139" s="72">
        <f>IF((K139&lt;M139),IF((L139-K139)&gt;O138,O138+K139+N138,L139+N138),(L139+N138))</f>
        <v>0</v>
      </c>
      <c r="O139" s="72">
        <f>IF((K139&lt;L139),IF((L139-K139)&gt;O138,0,O138-(L139-K139)),(O138+(K139-L139)))</f>
        <v>0</v>
      </c>
      <c r="P139" s="83" t="e">
        <f t="shared" ref="P139:P161" si="84">O139*$I$12/(5280*$I$10)</f>
        <v>#DIV/0!</v>
      </c>
      <c r="Q139" s="83" t="e">
        <f t="shared" ref="Q139:Q161" si="85">60*O139/L139</f>
        <v>#DIV/0!</v>
      </c>
      <c r="R139" s="83" t="e">
        <f t="shared" ref="R139:R161" si="86">((O139*Q139)*$I$11*$J$16/(60))+((O139*Q139)*(1-$I$11)*$J$17/(60))</f>
        <v>#DIV/0!</v>
      </c>
      <c r="S139" s="10">
        <f t="shared" ref="S139:S161" si="87">IF($AG$141-H140&gt;=0,IF($G$146="",$F$145,$G$146),IF(AND(H139&gt;=$AG$137,H139&lt;$AG$137+$AG$138),IF($G$146="",$F$145,$G$146),$F$138))</f>
        <v>0</v>
      </c>
      <c r="T139" s="10">
        <f>T138+K139</f>
        <v>0</v>
      </c>
      <c r="U139" s="10">
        <f>IF((K139&lt;S139),IF((S139-K139)&gt;V138,V138+K139+U138,S139+U138),(S139+U138))</f>
        <v>0</v>
      </c>
      <c r="V139" s="10">
        <f>IF((K139&lt;S139),IF((S139-K139)&gt;V138,0,V138-(S139-K139)),(V138+(K139-S139)))</f>
        <v>0</v>
      </c>
      <c r="W139" s="11" t="e">
        <f t="shared" ref="W139" si="88">V139*$I$12/(5280*$I$10)</f>
        <v>#DIV/0!</v>
      </c>
      <c r="X139" s="11">
        <f t="shared" ref="X139:X161" si="89">IF(S139=0,60*V139,60*V139/S139)</f>
        <v>0</v>
      </c>
      <c r="Y139" s="83">
        <f t="shared" ref="Y139" si="90">((V139*X139)*$I$11*$J$16/(60))+((V139*X139)*(1-$I$11)*$J$17/(60))</f>
        <v>0</v>
      </c>
      <c r="Z139" s="10">
        <f t="shared" ref="Z139" si="91">V139-O139</f>
        <v>0</v>
      </c>
      <c r="AA139" s="11" t="e">
        <f t="shared" ref="AA139" si="92">W139-P139</f>
        <v>#DIV/0!</v>
      </c>
      <c r="AB139" s="11" t="e">
        <f t="shared" ref="AB139:AB161" si="93">X139-Q139</f>
        <v>#DIV/0!</v>
      </c>
      <c r="AC139" s="11" t="e">
        <f>IF((X139-Q139)=0,IF(OR(AB138&lt;&gt;0,AB140&lt;&gt;0),0,NA()),X139)</f>
        <v>#DIV/0!</v>
      </c>
      <c r="AD139" s="11" t="e">
        <f t="shared" ref="AD139" si="94">Y139-R139</f>
        <v>#DIV/0!</v>
      </c>
      <c r="AE139" s="20"/>
      <c r="AF139" s="90"/>
      <c r="AG139" s="74"/>
    </row>
    <row r="140" spans="1:33" ht="13.8" x14ac:dyDescent="0.25">
      <c r="A140" s="272"/>
      <c r="B140" s="122"/>
      <c r="C140" s="165" t="s">
        <v>841</v>
      </c>
      <c r="D140" s="125"/>
      <c r="E140" s="2"/>
      <c r="F140" s="2"/>
      <c r="H140" s="88">
        <v>2</v>
      </c>
      <c r="I140" s="78">
        <v>8.3333333333333301E-2</v>
      </c>
      <c r="J140" s="79">
        <v>2</v>
      </c>
      <c r="K140" s="6">
        <f>'Step 2 - Facility Data Inputs'!I25</f>
        <v>0</v>
      </c>
      <c r="L140" s="179">
        <f t="shared" si="83"/>
        <v>0</v>
      </c>
      <c r="M140" s="72">
        <f t="shared" ref="M140:M161" si="95">M139+K140</f>
        <v>0</v>
      </c>
      <c r="N140" s="72">
        <f>IF((K140&lt;M140),IF((L140-K140)&gt;O139,O139+K140+N139,L140+N139),(L140+N139))</f>
        <v>0</v>
      </c>
      <c r="O140" s="72">
        <f t="shared" ref="O140:O161" si="96">IF((K140&lt;L140),IF((L140-K140)&gt;O139,0,O139-(L140-K140)),(O139+(K140-L140)))</f>
        <v>0</v>
      </c>
      <c r="P140" s="83" t="e">
        <f t="shared" si="84"/>
        <v>#DIV/0!</v>
      </c>
      <c r="Q140" s="83" t="e">
        <f t="shared" si="85"/>
        <v>#DIV/0!</v>
      </c>
      <c r="R140" s="83" t="e">
        <f t="shared" si="86"/>
        <v>#DIV/0!</v>
      </c>
      <c r="S140" s="10">
        <f t="shared" si="87"/>
        <v>0</v>
      </c>
      <c r="T140" s="10">
        <f t="shared" ref="T140:T161" si="97">T139+K140</f>
        <v>0</v>
      </c>
      <c r="U140" s="10">
        <f t="shared" ref="U140:U156" si="98">IF((K140&lt;S140),IF((S140-K140)&gt;V139,V139+K140+U139,S140+U139),(S140+U139))</f>
        <v>0</v>
      </c>
      <c r="V140" s="10">
        <f t="shared" ref="V140:V161" si="99">IF((K140&lt;S140),IF((S140-K140)&gt;V139,0,V139-(S140-K140)),(V139+(K140-S140)))</f>
        <v>0</v>
      </c>
      <c r="W140" s="11" t="e">
        <f>V140*$I$12/(5280*$I$10)</f>
        <v>#DIV/0!</v>
      </c>
      <c r="X140" s="11">
        <f t="shared" si="89"/>
        <v>0</v>
      </c>
      <c r="Y140" s="83">
        <f>((V140*X140)*$I$11*$J$16/(60))+((V140*X140)*(1-$I$11)*$J$17/(60))</f>
        <v>0</v>
      </c>
      <c r="Z140" s="10">
        <f>V140-O140</f>
        <v>0</v>
      </c>
      <c r="AA140" s="11" t="e">
        <f>W140-P140</f>
        <v>#DIV/0!</v>
      </c>
      <c r="AB140" s="11" t="e">
        <f t="shared" si="93"/>
        <v>#DIV/0!</v>
      </c>
      <c r="AC140" s="11" t="e">
        <f>IF((X140-Q140)=0,IF(OR(AB139&lt;&gt;0,AB141&lt;&gt;0),0,NA()),X140)</f>
        <v>#DIV/0!</v>
      </c>
      <c r="AD140" s="11" t="e">
        <f>Y140-R140</f>
        <v>#DIV/0!</v>
      </c>
      <c r="AE140" s="20"/>
      <c r="AF140" s="90" t="s">
        <v>18</v>
      </c>
      <c r="AG140" s="74">
        <f>COUNT(H138:H161)</f>
        <v>24</v>
      </c>
    </row>
    <row r="141" spans="1:33" x14ac:dyDescent="0.25">
      <c r="A141" s="272"/>
      <c r="B141" s="122"/>
      <c r="C141" s="120" t="s">
        <v>920</v>
      </c>
      <c r="D141" s="262" t="str">
        <f>'Step 3 - WZ Analysis'!D98:F98</f>
        <v>(Example: Pothole Patching - Close One Lane OR Joint Repair - Two Lanes Closed)</v>
      </c>
      <c r="E141" s="262"/>
      <c r="F141" s="262"/>
      <c r="H141" s="88">
        <v>3</v>
      </c>
      <c r="I141" s="78">
        <v>0.125</v>
      </c>
      <c r="J141" s="79">
        <v>3</v>
      </c>
      <c r="K141" s="6">
        <f>'Step 2 - Facility Data Inputs'!I26</f>
        <v>0</v>
      </c>
      <c r="L141" s="179">
        <f t="shared" si="83"/>
        <v>0</v>
      </c>
      <c r="M141" s="72">
        <f t="shared" si="95"/>
        <v>0</v>
      </c>
      <c r="N141" s="72">
        <f>IF((K141&lt;M141),IF((L141-K141)&gt;O140,O140+K141+N140,L141+N140),(L141+N140))</f>
        <v>0</v>
      </c>
      <c r="O141" s="72">
        <f t="shared" si="96"/>
        <v>0</v>
      </c>
      <c r="P141" s="83" t="e">
        <f t="shared" si="84"/>
        <v>#DIV/0!</v>
      </c>
      <c r="Q141" s="83" t="e">
        <f t="shared" si="85"/>
        <v>#DIV/0!</v>
      </c>
      <c r="R141" s="83" t="e">
        <f t="shared" si="86"/>
        <v>#DIV/0!</v>
      </c>
      <c r="S141" s="10">
        <f t="shared" si="87"/>
        <v>0</v>
      </c>
      <c r="T141" s="10">
        <f t="shared" si="97"/>
        <v>0</v>
      </c>
      <c r="U141" s="10">
        <f t="shared" si="98"/>
        <v>0</v>
      </c>
      <c r="V141" s="10">
        <f t="shared" si="99"/>
        <v>0</v>
      </c>
      <c r="W141" s="11" t="e">
        <f t="shared" ref="W141:W161" si="100">V141*$I$12/(5280*$I$10)</f>
        <v>#DIV/0!</v>
      </c>
      <c r="X141" s="11">
        <f>IF(S141=0,60*V141,60*V141/S141)</f>
        <v>0</v>
      </c>
      <c r="Y141" s="83">
        <f t="shared" ref="Y141:Y161" si="101">((V141*X141)*$I$11*$J$16/(60))+((V141*X141)*(1-$I$11)*$J$17/(60))</f>
        <v>0</v>
      </c>
      <c r="Z141" s="10">
        <f t="shared" ref="Z141:Z143" si="102">V141-O141</f>
        <v>0</v>
      </c>
      <c r="AA141" s="11" t="e">
        <f t="shared" ref="AA141:AA161" si="103">W141-P141</f>
        <v>#DIV/0!</v>
      </c>
      <c r="AB141" s="11" t="e">
        <f t="shared" si="93"/>
        <v>#DIV/0!</v>
      </c>
      <c r="AC141" s="11" t="e">
        <f t="shared" ref="AC141:AC160" si="104">IF((X141-Q141)=0,IF(OR(AB140&lt;&gt;0,AB142&lt;&gt;0),0,NA()),X141)</f>
        <v>#DIV/0!</v>
      </c>
      <c r="AD141" s="11" t="e">
        <f t="shared" ref="AD141:AD161" si="105">Y141-R141</f>
        <v>#DIV/0!</v>
      </c>
      <c r="AE141" s="20"/>
      <c r="AF141" s="90" t="s">
        <v>19</v>
      </c>
      <c r="AG141" s="180">
        <f>AG137+AG138-AG140</f>
        <v>-24</v>
      </c>
    </row>
    <row r="142" spans="1:33" x14ac:dyDescent="0.25">
      <c r="A142" s="272"/>
      <c r="B142" s="122"/>
      <c r="C142" s="120" t="s">
        <v>913</v>
      </c>
      <c r="D142" s="274" t="str">
        <f>'Step 3 - WZ Analysis'!D99:F99</f>
        <v>No Work Zone (Use for Calibrating Existing Conditions)</v>
      </c>
      <c r="E142" s="274"/>
      <c r="F142" s="274"/>
      <c r="G142">
        <f>VLOOKUP(D142,'Reference Sheet'!$S$2:$T$8,2)</f>
        <v>538</v>
      </c>
      <c r="H142" s="88">
        <v>4</v>
      </c>
      <c r="I142" s="78">
        <v>0.16666666666666699</v>
      </c>
      <c r="J142" s="79">
        <v>4</v>
      </c>
      <c r="K142" s="6">
        <f>'Step 2 - Facility Data Inputs'!I27</f>
        <v>0</v>
      </c>
      <c r="L142" s="179">
        <f t="shared" si="83"/>
        <v>0</v>
      </c>
      <c r="M142" s="72">
        <f t="shared" si="95"/>
        <v>0</v>
      </c>
      <c r="N142" s="72">
        <f t="shared" ref="N142:N161" si="106">IF((K142&lt;M142),IF((L142-K142)&gt;O141,O141+K142+N141,L142+N141),(L142+N141))</f>
        <v>0</v>
      </c>
      <c r="O142" s="72">
        <f t="shared" si="96"/>
        <v>0</v>
      </c>
      <c r="P142" s="83" t="e">
        <f t="shared" si="84"/>
        <v>#DIV/0!</v>
      </c>
      <c r="Q142" s="83" t="e">
        <f t="shared" si="85"/>
        <v>#DIV/0!</v>
      </c>
      <c r="R142" s="83" t="e">
        <f t="shared" si="86"/>
        <v>#DIV/0!</v>
      </c>
      <c r="S142" s="10">
        <f t="shared" si="87"/>
        <v>0</v>
      </c>
      <c r="T142" s="10">
        <f t="shared" si="97"/>
        <v>0</v>
      </c>
      <c r="U142" s="10">
        <f t="shared" si="98"/>
        <v>0</v>
      </c>
      <c r="V142" s="10">
        <f t="shared" si="99"/>
        <v>0</v>
      </c>
      <c r="W142" s="11" t="e">
        <f t="shared" si="100"/>
        <v>#DIV/0!</v>
      </c>
      <c r="X142" s="11">
        <f t="shared" si="89"/>
        <v>0</v>
      </c>
      <c r="Y142" s="83">
        <f t="shared" si="101"/>
        <v>0</v>
      </c>
      <c r="Z142" s="10">
        <f t="shared" si="102"/>
        <v>0</v>
      </c>
      <c r="AA142" s="11" t="e">
        <f t="shared" si="103"/>
        <v>#DIV/0!</v>
      </c>
      <c r="AB142" s="11" t="e">
        <f t="shared" si="93"/>
        <v>#DIV/0!</v>
      </c>
      <c r="AC142" s="11" t="e">
        <f t="shared" si="104"/>
        <v>#DIV/0!</v>
      </c>
      <c r="AD142" s="11" t="e">
        <f t="shared" si="105"/>
        <v>#DIV/0!</v>
      </c>
      <c r="AE142" s="20"/>
    </row>
    <row r="143" spans="1:33" x14ac:dyDescent="0.25">
      <c r="A143" s="272"/>
      <c r="B143" s="122"/>
      <c r="C143" s="120" t="s">
        <v>914</v>
      </c>
      <c r="D143" s="275" t="str">
        <f>'Step 3 - WZ Analysis'!D100:F100</f>
        <v>&gt; 11.5</v>
      </c>
      <c r="E143" s="275"/>
      <c r="F143" s="275"/>
      <c r="G143">
        <f>VLOOKUP(D143,'Reference Sheet'!$V$2:$W$4,2)</f>
        <v>1</v>
      </c>
      <c r="H143" s="88">
        <v>5</v>
      </c>
      <c r="I143" s="78">
        <v>0.20833333333333301</v>
      </c>
      <c r="J143" s="79">
        <v>5</v>
      </c>
      <c r="K143" s="6">
        <f>'Step 2 - Facility Data Inputs'!I28</f>
        <v>0</v>
      </c>
      <c r="L143" s="179">
        <f t="shared" si="83"/>
        <v>0</v>
      </c>
      <c r="M143" s="72">
        <f t="shared" si="95"/>
        <v>0</v>
      </c>
      <c r="N143" s="72">
        <f t="shared" si="106"/>
        <v>0</v>
      </c>
      <c r="O143" s="72">
        <f t="shared" si="96"/>
        <v>0</v>
      </c>
      <c r="P143" s="83" t="e">
        <f t="shared" si="84"/>
        <v>#DIV/0!</v>
      </c>
      <c r="Q143" s="83" t="e">
        <f t="shared" si="85"/>
        <v>#DIV/0!</v>
      </c>
      <c r="R143" s="83" t="e">
        <f t="shared" si="86"/>
        <v>#DIV/0!</v>
      </c>
      <c r="S143" s="10">
        <f t="shared" si="87"/>
        <v>0</v>
      </c>
      <c r="T143" s="10">
        <f t="shared" si="97"/>
        <v>0</v>
      </c>
      <c r="U143" s="10">
        <f t="shared" si="98"/>
        <v>0</v>
      </c>
      <c r="V143" s="10">
        <f t="shared" si="99"/>
        <v>0</v>
      </c>
      <c r="W143" s="11" t="e">
        <f t="shared" si="100"/>
        <v>#DIV/0!</v>
      </c>
      <c r="X143" s="11">
        <f t="shared" si="89"/>
        <v>0</v>
      </c>
      <c r="Y143" s="83">
        <f t="shared" si="101"/>
        <v>0</v>
      </c>
      <c r="Z143" s="10">
        <f t="shared" si="102"/>
        <v>0</v>
      </c>
      <c r="AA143" s="11" t="e">
        <f t="shared" si="103"/>
        <v>#DIV/0!</v>
      </c>
      <c r="AB143" s="11" t="e">
        <f t="shared" si="93"/>
        <v>#DIV/0!</v>
      </c>
      <c r="AC143" s="11" t="e">
        <f t="shared" si="104"/>
        <v>#DIV/0!</v>
      </c>
      <c r="AD143" s="11" t="e">
        <f t="shared" si="105"/>
        <v>#DIV/0!</v>
      </c>
      <c r="AE143" s="20"/>
    </row>
    <row r="144" spans="1:33" x14ac:dyDescent="0.25">
      <c r="A144" s="272"/>
      <c r="B144" s="122"/>
      <c r="C144" s="120" t="s">
        <v>915</v>
      </c>
      <c r="D144" s="275">
        <f>'Step 3 - WZ Analysis'!D101:F101</f>
        <v>0</v>
      </c>
      <c r="E144" s="275"/>
      <c r="F144" s="275"/>
      <c r="H144" s="88">
        <v>6</v>
      </c>
      <c r="I144" s="78">
        <v>0.25</v>
      </c>
      <c r="J144" s="79">
        <v>6</v>
      </c>
      <c r="K144" s="6">
        <f>'Step 2 - Facility Data Inputs'!I29</f>
        <v>0</v>
      </c>
      <c r="L144" s="179">
        <f t="shared" si="83"/>
        <v>0</v>
      </c>
      <c r="M144" s="72">
        <f t="shared" si="95"/>
        <v>0</v>
      </c>
      <c r="N144" s="72">
        <f t="shared" si="106"/>
        <v>0</v>
      </c>
      <c r="O144" s="72">
        <f t="shared" si="96"/>
        <v>0</v>
      </c>
      <c r="P144" s="83" t="e">
        <f t="shared" si="84"/>
        <v>#DIV/0!</v>
      </c>
      <c r="Q144" s="83" t="e">
        <f t="shared" si="85"/>
        <v>#DIV/0!</v>
      </c>
      <c r="R144" s="83" t="e">
        <f t="shared" si="86"/>
        <v>#DIV/0!</v>
      </c>
      <c r="S144" s="10">
        <f t="shared" si="87"/>
        <v>0</v>
      </c>
      <c r="T144" s="10">
        <f t="shared" si="97"/>
        <v>0</v>
      </c>
      <c r="U144" s="10">
        <f t="shared" si="98"/>
        <v>0</v>
      </c>
      <c r="V144" s="10">
        <f t="shared" si="99"/>
        <v>0</v>
      </c>
      <c r="W144" s="11" t="e">
        <f t="shared" si="100"/>
        <v>#DIV/0!</v>
      </c>
      <c r="X144" s="11">
        <f t="shared" si="89"/>
        <v>0</v>
      </c>
      <c r="Y144" s="83">
        <f t="shared" si="101"/>
        <v>0</v>
      </c>
      <c r="Z144" s="10">
        <f>V144-O144</f>
        <v>0</v>
      </c>
      <c r="AA144" s="11" t="e">
        <f t="shared" si="103"/>
        <v>#DIV/0!</v>
      </c>
      <c r="AB144" s="11" t="e">
        <f t="shared" si="93"/>
        <v>#DIV/0!</v>
      </c>
      <c r="AC144" s="11" t="e">
        <f t="shared" si="104"/>
        <v>#DIV/0!</v>
      </c>
      <c r="AD144" s="11" t="e">
        <f t="shared" si="105"/>
        <v>#DIV/0!</v>
      </c>
      <c r="AE144" s="20"/>
      <c r="AF144" s="4" t="s">
        <v>57</v>
      </c>
      <c r="AG144" s="3">
        <f>MAX(X138:X161)</f>
        <v>0</v>
      </c>
    </row>
    <row r="145" spans="1:33" ht="66" x14ac:dyDescent="0.25">
      <c r="A145" s="272"/>
      <c r="B145" s="122"/>
      <c r="C145" s="121" t="s">
        <v>917</v>
      </c>
      <c r="D145" s="178">
        <f>IF(G142=538,D138,IF(VLOOKUP((G142+G143),'HCM 2010 Program'!$C$3:$H$20,6)&gt;(D138),D138,VLOOKUP((G142+G143),'HCM 2010 Program'!$C$3:$H$20,6)))</f>
        <v>1900</v>
      </c>
      <c r="E145" s="55" t="s">
        <v>922</v>
      </c>
      <c r="F145" s="168">
        <f>MIN((D145*D144),F138)</f>
        <v>0</v>
      </c>
      <c r="G145" s="55" t="s">
        <v>925</v>
      </c>
      <c r="H145" s="88">
        <v>7</v>
      </c>
      <c r="I145" s="78">
        <v>0.29166666666666702</v>
      </c>
      <c r="J145" s="79">
        <v>7</v>
      </c>
      <c r="K145" s="6">
        <f>'Step 2 - Facility Data Inputs'!I30</f>
        <v>0</v>
      </c>
      <c r="L145" s="179">
        <f t="shared" si="83"/>
        <v>0</v>
      </c>
      <c r="M145" s="72">
        <f t="shared" si="95"/>
        <v>0</v>
      </c>
      <c r="N145" s="72">
        <f t="shared" si="106"/>
        <v>0</v>
      </c>
      <c r="O145" s="72">
        <f t="shared" si="96"/>
        <v>0</v>
      </c>
      <c r="P145" s="83" t="e">
        <f t="shared" si="84"/>
        <v>#DIV/0!</v>
      </c>
      <c r="Q145" s="83" t="e">
        <f t="shared" si="85"/>
        <v>#DIV/0!</v>
      </c>
      <c r="R145" s="83" t="e">
        <f t="shared" si="86"/>
        <v>#DIV/0!</v>
      </c>
      <c r="S145" s="10">
        <f t="shared" si="87"/>
        <v>0</v>
      </c>
      <c r="T145" s="10">
        <f t="shared" si="97"/>
        <v>0</v>
      </c>
      <c r="U145" s="10">
        <f t="shared" si="98"/>
        <v>0</v>
      </c>
      <c r="V145" s="10">
        <f t="shared" si="99"/>
        <v>0</v>
      </c>
      <c r="W145" s="11" t="e">
        <f t="shared" si="100"/>
        <v>#DIV/0!</v>
      </c>
      <c r="X145" s="11">
        <f t="shared" si="89"/>
        <v>0</v>
      </c>
      <c r="Y145" s="83">
        <f t="shared" si="101"/>
        <v>0</v>
      </c>
      <c r="Z145" s="10">
        <f t="shared" ref="Z145:Z161" si="107">V145-O145</f>
        <v>0</v>
      </c>
      <c r="AA145" s="11" t="e">
        <f t="shared" si="103"/>
        <v>#DIV/0!</v>
      </c>
      <c r="AB145" s="11" t="e">
        <f t="shared" si="93"/>
        <v>#DIV/0!</v>
      </c>
      <c r="AC145" s="11" t="e">
        <f t="shared" si="104"/>
        <v>#DIV/0!</v>
      </c>
      <c r="AD145" s="11" t="e">
        <f t="shared" si="105"/>
        <v>#DIV/0!</v>
      </c>
      <c r="AE145" s="20"/>
    </row>
    <row r="146" spans="1:33" ht="79.2" x14ac:dyDescent="0.25">
      <c r="A146" s="272"/>
      <c r="B146" s="122"/>
      <c r="C146" s="121" t="s">
        <v>916</v>
      </c>
      <c r="D146" s="124"/>
      <c r="E146" s="195">
        <f>'Step 3 - WZ Analysis'!E103</f>
        <v>0</v>
      </c>
      <c r="F146" s="123"/>
      <c r="G146" s="74" t="str">
        <f>IF('Step 3 - WZ Analysis'!E103="","",'Step 3 - WZ Analysis'!E103)</f>
        <v/>
      </c>
      <c r="H146" s="88">
        <v>8</v>
      </c>
      <c r="I146" s="78">
        <v>0.33333333333333298</v>
      </c>
      <c r="J146" s="79">
        <v>8</v>
      </c>
      <c r="K146" s="6">
        <f>'Step 2 - Facility Data Inputs'!I31</f>
        <v>0</v>
      </c>
      <c r="L146" s="179">
        <f t="shared" si="83"/>
        <v>0</v>
      </c>
      <c r="M146" s="72">
        <f t="shared" si="95"/>
        <v>0</v>
      </c>
      <c r="N146" s="72">
        <f t="shared" si="106"/>
        <v>0</v>
      </c>
      <c r="O146" s="72">
        <f t="shared" si="96"/>
        <v>0</v>
      </c>
      <c r="P146" s="83" t="e">
        <f t="shared" si="84"/>
        <v>#DIV/0!</v>
      </c>
      <c r="Q146" s="83" t="e">
        <f t="shared" si="85"/>
        <v>#DIV/0!</v>
      </c>
      <c r="R146" s="83" t="e">
        <f t="shared" si="86"/>
        <v>#DIV/0!</v>
      </c>
      <c r="S146" s="10">
        <f t="shared" si="87"/>
        <v>0</v>
      </c>
      <c r="T146" s="10">
        <f t="shared" si="97"/>
        <v>0</v>
      </c>
      <c r="U146" s="10">
        <f t="shared" si="98"/>
        <v>0</v>
      </c>
      <c r="V146" s="10">
        <f t="shared" si="99"/>
        <v>0</v>
      </c>
      <c r="W146" s="11" t="e">
        <f t="shared" si="100"/>
        <v>#DIV/0!</v>
      </c>
      <c r="X146" s="11">
        <f t="shared" si="89"/>
        <v>0</v>
      </c>
      <c r="Y146" s="83">
        <f t="shared" si="101"/>
        <v>0</v>
      </c>
      <c r="Z146" s="10">
        <f t="shared" si="107"/>
        <v>0</v>
      </c>
      <c r="AA146" s="11" t="e">
        <f t="shared" si="103"/>
        <v>#DIV/0!</v>
      </c>
      <c r="AB146" s="11" t="e">
        <f t="shared" si="93"/>
        <v>#DIV/0!</v>
      </c>
      <c r="AC146" s="11" t="e">
        <f t="shared" si="104"/>
        <v>#DIV/0!</v>
      </c>
      <c r="AD146" s="11" t="e">
        <f t="shared" si="105"/>
        <v>#DIV/0!</v>
      </c>
      <c r="AE146" s="20"/>
      <c r="AF146" s="4" t="s">
        <v>58</v>
      </c>
      <c r="AG146" s="3" t="e">
        <f>(SUM(V138:V161)/T161)*60</f>
        <v>#DIV/0!</v>
      </c>
    </row>
    <row r="147" spans="1:33" x14ac:dyDescent="0.25">
      <c r="A147" s="272"/>
      <c r="B147" s="122"/>
      <c r="C147" s="114" t="s">
        <v>900</v>
      </c>
      <c r="D147" s="276">
        <f>'Step 3 - WZ Analysis'!D104:F104</f>
        <v>0</v>
      </c>
      <c r="E147" s="276"/>
      <c r="F147" s="276"/>
      <c r="G147" s="173">
        <f>VLOOKUP(D147,'WZ Analysis (Worksheet)'!$I$22:$J$45,2)</f>
        <v>0</v>
      </c>
      <c r="H147" s="88">
        <v>9</v>
      </c>
      <c r="I147" s="78">
        <v>0.375</v>
      </c>
      <c r="J147" s="79">
        <v>9</v>
      </c>
      <c r="K147" s="6">
        <f>'Step 2 - Facility Data Inputs'!I32</f>
        <v>0</v>
      </c>
      <c r="L147" s="179">
        <f t="shared" si="83"/>
        <v>0</v>
      </c>
      <c r="M147" s="72">
        <f t="shared" si="95"/>
        <v>0</v>
      </c>
      <c r="N147" s="72">
        <f t="shared" si="106"/>
        <v>0</v>
      </c>
      <c r="O147" s="72">
        <f t="shared" si="96"/>
        <v>0</v>
      </c>
      <c r="P147" s="83" t="e">
        <f t="shared" si="84"/>
        <v>#DIV/0!</v>
      </c>
      <c r="Q147" s="83" t="e">
        <f t="shared" si="85"/>
        <v>#DIV/0!</v>
      </c>
      <c r="R147" s="83" t="e">
        <f t="shared" si="86"/>
        <v>#DIV/0!</v>
      </c>
      <c r="S147" s="10">
        <f t="shared" si="87"/>
        <v>0</v>
      </c>
      <c r="T147" s="10">
        <f t="shared" si="97"/>
        <v>0</v>
      </c>
      <c r="U147" s="10">
        <f t="shared" si="98"/>
        <v>0</v>
      </c>
      <c r="V147" s="10">
        <f t="shared" si="99"/>
        <v>0</v>
      </c>
      <c r="W147" s="11" t="e">
        <f t="shared" si="100"/>
        <v>#DIV/0!</v>
      </c>
      <c r="X147" s="11">
        <f t="shared" si="89"/>
        <v>0</v>
      </c>
      <c r="Y147" s="83">
        <f t="shared" si="101"/>
        <v>0</v>
      </c>
      <c r="Z147" s="10">
        <f t="shared" si="107"/>
        <v>0</v>
      </c>
      <c r="AA147" s="11" t="e">
        <f t="shared" si="103"/>
        <v>#DIV/0!</v>
      </c>
      <c r="AB147" s="11" t="e">
        <f t="shared" si="93"/>
        <v>#DIV/0!</v>
      </c>
      <c r="AC147" s="11" t="e">
        <f t="shared" si="104"/>
        <v>#DIV/0!</v>
      </c>
      <c r="AD147" s="11" t="e">
        <f t="shared" si="105"/>
        <v>#DIV/0!</v>
      </c>
      <c r="AE147" s="20"/>
    </row>
    <row r="148" spans="1:33" x14ac:dyDescent="0.25">
      <c r="A148" s="272"/>
      <c r="B148" s="122"/>
      <c r="C148" s="114" t="s">
        <v>901</v>
      </c>
      <c r="D148" s="276">
        <f>'Step 3 - WZ Analysis'!D105:F105</f>
        <v>0</v>
      </c>
      <c r="E148" s="276"/>
      <c r="F148" s="276"/>
      <c r="G148" s="173">
        <f>VLOOKUP(D148,'WZ Analysis (Worksheet)'!$I$22:$J$45,2)</f>
        <v>0</v>
      </c>
      <c r="H148" s="88">
        <v>10</v>
      </c>
      <c r="I148" s="78">
        <v>0.41666666666666702</v>
      </c>
      <c r="J148" s="79">
        <v>10</v>
      </c>
      <c r="K148" s="6">
        <f>'Step 2 - Facility Data Inputs'!I33</f>
        <v>0</v>
      </c>
      <c r="L148" s="179">
        <f t="shared" si="83"/>
        <v>0</v>
      </c>
      <c r="M148" s="72">
        <f t="shared" si="95"/>
        <v>0</v>
      </c>
      <c r="N148" s="72">
        <f t="shared" si="106"/>
        <v>0</v>
      </c>
      <c r="O148" s="72">
        <f t="shared" si="96"/>
        <v>0</v>
      </c>
      <c r="P148" s="83" t="e">
        <f t="shared" si="84"/>
        <v>#DIV/0!</v>
      </c>
      <c r="Q148" s="83" t="e">
        <f t="shared" si="85"/>
        <v>#DIV/0!</v>
      </c>
      <c r="R148" s="83" t="e">
        <f t="shared" si="86"/>
        <v>#DIV/0!</v>
      </c>
      <c r="S148" s="10">
        <f t="shared" si="87"/>
        <v>0</v>
      </c>
      <c r="T148" s="10">
        <f t="shared" si="97"/>
        <v>0</v>
      </c>
      <c r="U148" s="10">
        <f t="shared" si="98"/>
        <v>0</v>
      </c>
      <c r="V148" s="10">
        <f t="shared" si="99"/>
        <v>0</v>
      </c>
      <c r="W148" s="11" t="e">
        <f t="shared" si="100"/>
        <v>#DIV/0!</v>
      </c>
      <c r="X148" s="11">
        <f t="shared" si="89"/>
        <v>0</v>
      </c>
      <c r="Y148" s="83">
        <f t="shared" si="101"/>
        <v>0</v>
      </c>
      <c r="Z148" s="10">
        <f t="shared" si="107"/>
        <v>0</v>
      </c>
      <c r="AA148" s="11" t="e">
        <f t="shared" si="103"/>
        <v>#DIV/0!</v>
      </c>
      <c r="AB148" s="11" t="e">
        <f t="shared" si="93"/>
        <v>#DIV/0!</v>
      </c>
      <c r="AC148" s="11" t="e">
        <f t="shared" si="104"/>
        <v>#DIV/0!</v>
      </c>
      <c r="AD148" s="11" t="e">
        <f t="shared" si="105"/>
        <v>#DIV/0!</v>
      </c>
      <c r="AE148" s="20"/>
      <c r="AF148" s="4" t="s">
        <v>17</v>
      </c>
      <c r="AG148" s="18">
        <f>Z162</f>
        <v>0</v>
      </c>
    </row>
    <row r="149" spans="1:33" x14ac:dyDescent="0.25">
      <c r="A149" s="272"/>
      <c r="B149" s="122"/>
      <c r="C149" s="114" t="s">
        <v>902</v>
      </c>
      <c r="D149" s="261">
        <f>'Step 3 - WZ Analysis'!D106:F106</f>
        <v>0</v>
      </c>
      <c r="E149" s="261"/>
      <c r="F149" s="261"/>
      <c r="H149" s="88">
        <v>11</v>
      </c>
      <c r="I149" s="78">
        <v>0.45833333333333298</v>
      </c>
      <c r="J149" s="79">
        <v>11</v>
      </c>
      <c r="K149" s="6">
        <f>'Step 2 - Facility Data Inputs'!I34</f>
        <v>0</v>
      </c>
      <c r="L149" s="179">
        <f t="shared" si="83"/>
        <v>0</v>
      </c>
      <c r="M149" s="72">
        <f t="shared" si="95"/>
        <v>0</v>
      </c>
      <c r="N149" s="72">
        <f t="shared" si="106"/>
        <v>0</v>
      </c>
      <c r="O149" s="72">
        <f t="shared" si="96"/>
        <v>0</v>
      </c>
      <c r="P149" s="83" t="e">
        <f t="shared" si="84"/>
        <v>#DIV/0!</v>
      </c>
      <c r="Q149" s="83" t="e">
        <f t="shared" si="85"/>
        <v>#DIV/0!</v>
      </c>
      <c r="R149" s="83" t="e">
        <f t="shared" si="86"/>
        <v>#DIV/0!</v>
      </c>
      <c r="S149" s="10">
        <f t="shared" si="87"/>
        <v>0</v>
      </c>
      <c r="T149" s="10">
        <f t="shared" si="97"/>
        <v>0</v>
      </c>
      <c r="U149" s="10">
        <f t="shared" si="98"/>
        <v>0</v>
      </c>
      <c r="V149" s="10">
        <f t="shared" si="99"/>
        <v>0</v>
      </c>
      <c r="W149" s="11" t="e">
        <f t="shared" si="100"/>
        <v>#DIV/0!</v>
      </c>
      <c r="X149" s="11">
        <f t="shared" si="89"/>
        <v>0</v>
      </c>
      <c r="Y149" s="83">
        <f t="shared" si="101"/>
        <v>0</v>
      </c>
      <c r="Z149" s="10">
        <f t="shared" si="107"/>
        <v>0</v>
      </c>
      <c r="AA149" s="11" t="e">
        <f t="shared" si="103"/>
        <v>#DIV/0!</v>
      </c>
      <c r="AB149" s="11" t="e">
        <f t="shared" si="93"/>
        <v>#DIV/0!</v>
      </c>
      <c r="AC149" s="11" t="e">
        <f t="shared" si="104"/>
        <v>#DIV/0!</v>
      </c>
      <c r="AD149" s="11" t="e">
        <f t="shared" si="105"/>
        <v>#DIV/0!</v>
      </c>
      <c r="AE149" s="20"/>
    </row>
    <row r="150" spans="1:33" x14ac:dyDescent="0.25">
      <c r="A150" s="272"/>
      <c r="B150" s="122"/>
      <c r="C150" s="117"/>
      <c r="D150" s="2"/>
      <c r="E150" s="2"/>
      <c r="F150" s="38"/>
      <c r="H150" s="88">
        <v>12</v>
      </c>
      <c r="I150" s="78">
        <v>0.5</v>
      </c>
      <c r="J150" s="79">
        <v>12</v>
      </c>
      <c r="K150" s="6">
        <f>'Step 2 - Facility Data Inputs'!I35</f>
        <v>0</v>
      </c>
      <c r="L150" s="179">
        <f t="shared" si="83"/>
        <v>0</v>
      </c>
      <c r="M150" s="72">
        <f t="shared" si="95"/>
        <v>0</v>
      </c>
      <c r="N150" s="72">
        <f t="shared" si="106"/>
        <v>0</v>
      </c>
      <c r="O150" s="72">
        <f t="shared" si="96"/>
        <v>0</v>
      </c>
      <c r="P150" s="83" t="e">
        <f t="shared" si="84"/>
        <v>#DIV/0!</v>
      </c>
      <c r="Q150" s="83" t="e">
        <f t="shared" si="85"/>
        <v>#DIV/0!</v>
      </c>
      <c r="R150" s="83" t="e">
        <f t="shared" si="86"/>
        <v>#DIV/0!</v>
      </c>
      <c r="S150" s="10">
        <f t="shared" si="87"/>
        <v>0</v>
      </c>
      <c r="T150" s="10">
        <f t="shared" si="97"/>
        <v>0</v>
      </c>
      <c r="U150" s="10">
        <f t="shared" si="98"/>
        <v>0</v>
      </c>
      <c r="V150" s="10">
        <f t="shared" si="99"/>
        <v>0</v>
      </c>
      <c r="W150" s="11" t="e">
        <f t="shared" si="100"/>
        <v>#DIV/0!</v>
      </c>
      <c r="X150" s="11">
        <f t="shared" si="89"/>
        <v>0</v>
      </c>
      <c r="Y150" s="83">
        <f t="shared" si="101"/>
        <v>0</v>
      </c>
      <c r="Z150" s="10">
        <f t="shared" si="107"/>
        <v>0</v>
      </c>
      <c r="AA150" s="11" t="e">
        <f t="shared" si="103"/>
        <v>#DIV/0!</v>
      </c>
      <c r="AB150" s="11" t="e">
        <f t="shared" si="93"/>
        <v>#DIV/0!</v>
      </c>
      <c r="AC150" s="11" t="e">
        <f t="shared" si="104"/>
        <v>#DIV/0!</v>
      </c>
      <c r="AD150" s="11" t="e">
        <f t="shared" si="105"/>
        <v>#DIV/0!</v>
      </c>
      <c r="AE150" s="20"/>
      <c r="AF150" s="4" t="s">
        <v>59</v>
      </c>
      <c r="AG150" s="3" t="e">
        <f>W162</f>
        <v>#DIV/0!</v>
      </c>
    </row>
    <row r="151" spans="1:33" ht="13.8" x14ac:dyDescent="0.25">
      <c r="A151" s="272"/>
      <c r="B151" s="122"/>
      <c r="C151" s="164" t="s">
        <v>896</v>
      </c>
      <c r="D151" s="2"/>
      <c r="E151" s="2"/>
      <c r="F151" s="38"/>
      <c r="H151" s="88">
        <v>13</v>
      </c>
      <c r="I151" s="78">
        <v>0.54166666666666696</v>
      </c>
      <c r="J151" s="79">
        <v>13</v>
      </c>
      <c r="K151" s="6">
        <f>'Step 2 - Facility Data Inputs'!I36</f>
        <v>0</v>
      </c>
      <c r="L151" s="179">
        <f t="shared" si="83"/>
        <v>0</v>
      </c>
      <c r="M151" s="72">
        <f t="shared" si="95"/>
        <v>0</v>
      </c>
      <c r="N151" s="72">
        <f t="shared" si="106"/>
        <v>0</v>
      </c>
      <c r="O151" s="72">
        <f t="shared" si="96"/>
        <v>0</v>
      </c>
      <c r="P151" s="83" t="e">
        <f t="shared" si="84"/>
        <v>#DIV/0!</v>
      </c>
      <c r="Q151" s="83" t="e">
        <f t="shared" si="85"/>
        <v>#DIV/0!</v>
      </c>
      <c r="R151" s="83" t="e">
        <f t="shared" si="86"/>
        <v>#DIV/0!</v>
      </c>
      <c r="S151" s="10">
        <f t="shared" si="87"/>
        <v>0</v>
      </c>
      <c r="T151" s="10">
        <f t="shared" si="97"/>
        <v>0</v>
      </c>
      <c r="U151" s="10">
        <f t="shared" si="98"/>
        <v>0</v>
      </c>
      <c r="V151" s="10">
        <f t="shared" si="99"/>
        <v>0</v>
      </c>
      <c r="W151" s="11" t="e">
        <f t="shared" si="100"/>
        <v>#DIV/0!</v>
      </c>
      <c r="X151" s="11">
        <f t="shared" si="89"/>
        <v>0</v>
      </c>
      <c r="Y151" s="83">
        <f t="shared" si="101"/>
        <v>0</v>
      </c>
      <c r="Z151" s="10">
        <f t="shared" si="107"/>
        <v>0</v>
      </c>
      <c r="AA151" s="11" t="e">
        <f t="shared" si="103"/>
        <v>#DIV/0!</v>
      </c>
      <c r="AB151" s="11" t="e">
        <f t="shared" si="93"/>
        <v>#DIV/0!</v>
      </c>
      <c r="AC151" s="11" t="e">
        <f t="shared" si="104"/>
        <v>#DIV/0!</v>
      </c>
      <c r="AD151" s="11" t="e">
        <f t="shared" si="105"/>
        <v>#DIV/0!</v>
      </c>
      <c r="AE151" s="20"/>
    </row>
    <row r="152" spans="1:33" x14ac:dyDescent="0.25">
      <c r="A152" s="272"/>
      <c r="B152" s="122"/>
      <c r="C152" s="114" t="s">
        <v>899</v>
      </c>
      <c r="D152" s="118" t="s">
        <v>895</v>
      </c>
      <c r="E152" s="118" t="s">
        <v>898</v>
      </c>
      <c r="F152" s="119" t="s">
        <v>897</v>
      </c>
      <c r="H152" s="88">
        <v>14</v>
      </c>
      <c r="I152" s="78">
        <v>0.58333333333333304</v>
      </c>
      <c r="J152" s="79">
        <v>14</v>
      </c>
      <c r="K152" s="6">
        <f>'Step 2 - Facility Data Inputs'!I37</f>
        <v>0</v>
      </c>
      <c r="L152" s="179">
        <f t="shared" si="83"/>
        <v>0</v>
      </c>
      <c r="M152" s="72">
        <f t="shared" si="95"/>
        <v>0</v>
      </c>
      <c r="N152" s="72">
        <f t="shared" si="106"/>
        <v>0</v>
      </c>
      <c r="O152" s="72">
        <f t="shared" si="96"/>
        <v>0</v>
      </c>
      <c r="P152" s="83" t="e">
        <f t="shared" si="84"/>
        <v>#DIV/0!</v>
      </c>
      <c r="Q152" s="83" t="e">
        <f t="shared" si="85"/>
        <v>#DIV/0!</v>
      </c>
      <c r="R152" s="83" t="e">
        <f t="shared" si="86"/>
        <v>#DIV/0!</v>
      </c>
      <c r="S152" s="10">
        <f t="shared" si="87"/>
        <v>0</v>
      </c>
      <c r="T152" s="10">
        <f t="shared" si="97"/>
        <v>0</v>
      </c>
      <c r="U152" s="10">
        <f t="shared" si="98"/>
        <v>0</v>
      </c>
      <c r="V152" s="10">
        <f t="shared" si="99"/>
        <v>0</v>
      </c>
      <c r="W152" s="11" t="e">
        <f t="shared" si="100"/>
        <v>#DIV/0!</v>
      </c>
      <c r="X152" s="11">
        <f t="shared" si="89"/>
        <v>0</v>
      </c>
      <c r="Y152" s="83">
        <f t="shared" si="101"/>
        <v>0</v>
      </c>
      <c r="Z152" s="10">
        <f t="shared" si="107"/>
        <v>0</v>
      </c>
      <c r="AA152" s="11" t="e">
        <f t="shared" si="103"/>
        <v>#DIV/0!</v>
      </c>
      <c r="AB152" s="11" t="e">
        <f t="shared" si="93"/>
        <v>#DIV/0!</v>
      </c>
      <c r="AC152" s="11" t="e">
        <f t="shared" si="104"/>
        <v>#DIV/0!</v>
      </c>
      <c r="AD152" s="11" t="e">
        <f t="shared" si="105"/>
        <v>#DIV/0!</v>
      </c>
      <c r="AE152" s="20"/>
    </row>
    <row r="153" spans="1:33" x14ac:dyDescent="0.25">
      <c r="A153" s="272"/>
      <c r="B153" s="122"/>
      <c r="C153" s="114" t="s">
        <v>903</v>
      </c>
      <c r="D153" s="112" t="e">
        <f>P162</f>
        <v>#DIV/0!</v>
      </c>
      <c r="E153" s="112" t="e">
        <f>AA162</f>
        <v>#DIV/0!</v>
      </c>
      <c r="F153" s="112" t="e">
        <f>W162</f>
        <v>#DIV/0!</v>
      </c>
      <c r="H153" s="88">
        <v>15</v>
      </c>
      <c r="I153" s="78">
        <v>0.625</v>
      </c>
      <c r="J153" s="79">
        <v>15</v>
      </c>
      <c r="K153" s="6">
        <f>'Step 2 - Facility Data Inputs'!I38</f>
        <v>0</v>
      </c>
      <c r="L153" s="179">
        <f t="shared" si="83"/>
        <v>0</v>
      </c>
      <c r="M153" s="72">
        <f t="shared" si="95"/>
        <v>0</v>
      </c>
      <c r="N153" s="72">
        <f t="shared" si="106"/>
        <v>0</v>
      </c>
      <c r="O153" s="72">
        <f t="shared" si="96"/>
        <v>0</v>
      </c>
      <c r="P153" s="83" t="e">
        <f t="shared" si="84"/>
        <v>#DIV/0!</v>
      </c>
      <c r="Q153" s="83" t="e">
        <f t="shared" si="85"/>
        <v>#DIV/0!</v>
      </c>
      <c r="R153" s="83" t="e">
        <f t="shared" si="86"/>
        <v>#DIV/0!</v>
      </c>
      <c r="S153" s="10">
        <f t="shared" si="87"/>
        <v>0</v>
      </c>
      <c r="T153" s="10">
        <f t="shared" si="97"/>
        <v>0</v>
      </c>
      <c r="U153" s="10">
        <f t="shared" si="98"/>
        <v>0</v>
      </c>
      <c r="V153" s="10">
        <f t="shared" si="99"/>
        <v>0</v>
      </c>
      <c r="W153" s="11" t="e">
        <f t="shared" si="100"/>
        <v>#DIV/0!</v>
      </c>
      <c r="X153" s="11">
        <f t="shared" si="89"/>
        <v>0</v>
      </c>
      <c r="Y153" s="83">
        <f t="shared" si="101"/>
        <v>0</v>
      </c>
      <c r="Z153" s="10">
        <f t="shared" si="107"/>
        <v>0</v>
      </c>
      <c r="AA153" s="11" t="e">
        <f t="shared" si="103"/>
        <v>#DIV/0!</v>
      </c>
      <c r="AB153" s="11" t="e">
        <f t="shared" si="93"/>
        <v>#DIV/0!</v>
      </c>
      <c r="AC153" s="11" t="e">
        <f t="shared" si="104"/>
        <v>#DIV/0!</v>
      </c>
      <c r="AD153" s="11" t="e">
        <f t="shared" si="105"/>
        <v>#DIV/0!</v>
      </c>
      <c r="AE153" s="20"/>
    </row>
    <row r="154" spans="1:33" x14ac:dyDescent="0.25">
      <c r="A154" s="272"/>
      <c r="B154" s="122"/>
      <c r="C154" s="114" t="s">
        <v>904</v>
      </c>
      <c r="D154" s="113" t="e">
        <f>Q162</f>
        <v>#DIV/0!</v>
      </c>
      <c r="E154" s="113" t="e">
        <f>AB162</f>
        <v>#DIV/0!</v>
      </c>
      <c r="F154" s="113">
        <f>X162</f>
        <v>0</v>
      </c>
      <c r="H154" s="88">
        <v>16</v>
      </c>
      <c r="I154" s="78">
        <v>0.66666666666666696</v>
      </c>
      <c r="J154" s="79">
        <v>16</v>
      </c>
      <c r="K154" s="6">
        <f>'Step 2 - Facility Data Inputs'!I39</f>
        <v>0</v>
      </c>
      <c r="L154" s="179">
        <f t="shared" si="83"/>
        <v>0</v>
      </c>
      <c r="M154" s="72">
        <f t="shared" si="95"/>
        <v>0</v>
      </c>
      <c r="N154" s="72">
        <f t="shared" si="106"/>
        <v>0</v>
      </c>
      <c r="O154" s="72">
        <f t="shared" si="96"/>
        <v>0</v>
      </c>
      <c r="P154" s="83" t="e">
        <f t="shared" si="84"/>
        <v>#DIV/0!</v>
      </c>
      <c r="Q154" s="83" t="e">
        <f t="shared" si="85"/>
        <v>#DIV/0!</v>
      </c>
      <c r="R154" s="83" t="e">
        <f t="shared" si="86"/>
        <v>#DIV/0!</v>
      </c>
      <c r="S154" s="10">
        <f t="shared" si="87"/>
        <v>0</v>
      </c>
      <c r="T154" s="10">
        <f t="shared" si="97"/>
        <v>0</v>
      </c>
      <c r="U154" s="10">
        <f t="shared" si="98"/>
        <v>0</v>
      </c>
      <c r="V154" s="10">
        <f t="shared" si="99"/>
        <v>0</v>
      </c>
      <c r="W154" s="11" t="e">
        <f t="shared" si="100"/>
        <v>#DIV/0!</v>
      </c>
      <c r="X154" s="11">
        <f t="shared" si="89"/>
        <v>0</v>
      </c>
      <c r="Y154" s="83">
        <f t="shared" si="101"/>
        <v>0</v>
      </c>
      <c r="Z154" s="10">
        <f t="shared" si="107"/>
        <v>0</v>
      </c>
      <c r="AA154" s="11" t="e">
        <f t="shared" si="103"/>
        <v>#DIV/0!</v>
      </c>
      <c r="AB154" s="11" t="e">
        <f t="shared" si="93"/>
        <v>#DIV/0!</v>
      </c>
      <c r="AC154" s="11" t="e">
        <f t="shared" si="104"/>
        <v>#DIV/0!</v>
      </c>
      <c r="AD154" s="11" t="e">
        <f t="shared" si="105"/>
        <v>#DIV/0!</v>
      </c>
      <c r="AE154" s="20"/>
    </row>
    <row r="155" spans="1:33" x14ac:dyDescent="0.25">
      <c r="A155" s="272"/>
      <c r="B155" s="122"/>
      <c r="C155" s="114" t="s">
        <v>905</v>
      </c>
      <c r="D155" s="115" t="e">
        <f>R163</f>
        <v>#DIV/0!</v>
      </c>
      <c r="E155" s="115" t="e">
        <f>AD163</f>
        <v>#DIV/0!</v>
      </c>
      <c r="F155" s="115" t="e">
        <f>Y163</f>
        <v>#DIV/0!</v>
      </c>
      <c r="H155" s="88">
        <v>17</v>
      </c>
      <c r="I155" s="78">
        <v>0.70833333333333304</v>
      </c>
      <c r="J155" s="79">
        <v>17</v>
      </c>
      <c r="K155" s="6">
        <f>'Step 2 - Facility Data Inputs'!I40</f>
        <v>0</v>
      </c>
      <c r="L155" s="179">
        <f t="shared" si="83"/>
        <v>0</v>
      </c>
      <c r="M155" s="72">
        <f t="shared" si="95"/>
        <v>0</v>
      </c>
      <c r="N155" s="72">
        <f t="shared" si="106"/>
        <v>0</v>
      </c>
      <c r="O155" s="72">
        <f t="shared" si="96"/>
        <v>0</v>
      </c>
      <c r="P155" s="83" t="e">
        <f t="shared" si="84"/>
        <v>#DIV/0!</v>
      </c>
      <c r="Q155" s="83" t="e">
        <f t="shared" si="85"/>
        <v>#DIV/0!</v>
      </c>
      <c r="R155" s="83" t="e">
        <f t="shared" si="86"/>
        <v>#DIV/0!</v>
      </c>
      <c r="S155" s="10">
        <f t="shared" si="87"/>
        <v>0</v>
      </c>
      <c r="T155" s="10">
        <f t="shared" si="97"/>
        <v>0</v>
      </c>
      <c r="U155" s="10">
        <f t="shared" si="98"/>
        <v>0</v>
      </c>
      <c r="V155" s="10">
        <f t="shared" si="99"/>
        <v>0</v>
      </c>
      <c r="W155" s="11" t="e">
        <f t="shared" si="100"/>
        <v>#DIV/0!</v>
      </c>
      <c r="X155" s="11">
        <f t="shared" si="89"/>
        <v>0</v>
      </c>
      <c r="Y155" s="83">
        <f t="shared" si="101"/>
        <v>0</v>
      </c>
      <c r="Z155" s="10">
        <f t="shared" si="107"/>
        <v>0</v>
      </c>
      <c r="AA155" s="11" t="e">
        <f t="shared" si="103"/>
        <v>#DIV/0!</v>
      </c>
      <c r="AB155" s="11" t="e">
        <f t="shared" si="93"/>
        <v>#DIV/0!</v>
      </c>
      <c r="AC155" s="11" t="e">
        <f t="shared" si="104"/>
        <v>#DIV/0!</v>
      </c>
      <c r="AD155" s="11" t="e">
        <f t="shared" si="105"/>
        <v>#DIV/0!</v>
      </c>
      <c r="AE155" s="20"/>
    </row>
    <row r="156" spans="1:33" ht="13.8" thickBot="1" x14ac:dyDescent="0.3">
      <c r="A156" s="273"/>
      <c r="B156" s="161"/>
      <c r="C156" s="162"/>
      <c r="D156" s="162"/>
      <c r="E156" s="162"/>
      <c r="F156" s="12"/>
      <c r="H156" s="88">
        <v>18</v>
      </c>
      <c r="I156" s="78">
        <v>0.75</v>
      </c>
      <c r="J156" s="79">
        <v>18</v>
      </c>
      <c r="K156" s="6">
        <f>'Step 2 - Facility Data Inputs'!I41</f>
        <v>0</v>
      </c>
      <c r="L156" s="179">
        <f t="shared" si="83"/>
        <v>0</v>
      </c>
      <c r="M156" s="72">
        <f t="shared" si="95"/>
        <v>0</v>
      </c>
      <c r="N156" s="72">
        <f t="shared" si="106"/>
        <v>0</v>
      </c>
      <c r="O156" s="72">
        <f t="shared" si="96"/>
        <v>0</v>
      </c>
      <c r="P156" s="83" t="e">
        <f t="shared" si="84"/>
        <v>#DIV/0!</v>
      </c>
      <c r="Q156" s="83" t="e">
        <f t="shared" si="85"/>
        <v>#DIV/0!</v>
      </c>
      <c r="R156" s="83" t="e">
        <f t="shared" si="86"/>
        <v>#DIV/0!</v>
      </c>
      <c r="S156" s="10">
        <f t="shared" si="87"/>
        <v>0</v>
      </c>
      <c r="T156" s="10">
        <f t="shared" si="97"/>
        <v>0</v>
      </c>
      <c r="U156" s="10">
        <f t="shared" si="98"/>
        <v>0</v>
      </c>
      <c r="V156" s="10">
        <f t="shared" si="99"/>
        <v>0</v>
      </c>
      <c r="W156" s="11" t="e">
        <f t="shared" si="100"/>
        <v>#DIV/0!</v>
      </c>
      <c r="X156" s="11">
        <f t="shared" si="89"/>
        <v>0</v>
      </c>
      <c r="Y156" s="83">
        <f t="shared" si="101"/>
        <v>0</v>
      </c>
      <c r="Z156" s="10">
        <f t="shared" si="107"/>
        <v>0</v>
      </c>
      <c r="AA156" s="11" t="e">
        <f t="shared" si="103"/>
        <v>#DIV/0!</v>
      </c>
      <c r="AB156" s="11" t="e">
        <f t="shared" si="93"/>
        <v>#DIV/0!</v>
      </c>
      <c r="AC156" s="11" t="e">
        <f t="shared" si="104"/>
        <v>#DIV/0!</v>
      </c>
      <c r="AD156" s="11" t="e">
        <f t="shared" si="105"/>
        <v>#DIV/0!</v>
      </c>
      <c r="AE156" s="20"/>
    </row>
    <row r="157" spans="1:33" x14ac:dyDescent="0.25">
      <c r="H157" s="88">
        <v>19</v>
      </c>
      <c r="I157" s="78">
        <v>0.79166666666666696</v>
      </c>
      <c r="J157" s="79">
        <v>19</v>
      </c>
      <c r="K157" s="6">
        <f>'Step 2 - Facility Data Inputs'!I42</f>
        <v>0</v>
      </c>
      <c r="L157" s="179">
        <f t="shared" si="83"/>
        <v>0</v>
      </c>
      <c r="M157" s="72">
        <f t="shared" si="95"/>
        <v>0</v>
      </c>
      <c r="N157" s="72">
        <f t="shared" si="106"/>
        <v>0</v>
      </c>
      <c r="O157" s="72">
        <f t="shared" si="96"/>
        <v>0</v>
      </c>
      <c r="P157" s="83" t="e">
        <f t="shared" si="84"/>
        <v>#DIV/0!</v>
      </c>
      <c r="Q157" s="83" t="e">
        <f t="shared" si="85"/>
        <v>#DIV/0!</v>
      </c>
      <c r="R157" s="83" t="e">
        <f t="shared" si="86"/>
        <v>#DIV/0!</v>
      </c>
      <c r="S157" s="10">
        <f t="shared" si="87"/>
        <v>0</v>
      </c>
      <c r="T157" s="10">
        <f t="shared" si="97"/>
        <v>0</v>
      </c>
      <c r="U157" s="10">
        <f>IF((K157&lt;S157),IF((S157-K157)&gt;V156,V156+K157+U156,S157+U156),(S157+U156))</f>
        <v>0</v>
      </c>
      <c r="V157" s="10">
        <f t="shared" si="99"/>
        <v>0</v>
      </c>
      <c r="W157" s="11" t="e">
        <f t="shared" si="100"/>
        <v>#DIV/0!</v>
      </c>
      <c r="X157" s="11">
        <f t="shared" si="89"/>
        <v>0</v>
      </c>
      <c r="Y157" s="83">
        <f t="shared" si="101"/>
        <v>0</v>
      </c>
      <c r="Z157" s="10">
        <f t="shared" si="107"/>
        <v>0</v>
      </c>
      <c r="AA157" s="11" t="e">
        <f t="shared" si="103"/>
        <v>#DIV/0!</v>
      </c>
      <c r="AB157" s="11" t="e">
        <f t="shared" si="93"/>
        <v>#DIV/0!</v>
      </c>
      <c r="AC157" s="11" t="e">
        <f t="shared" si="104"/>
        <v>#DIV/0!</v>
      </c>
      <c r="AD157" s="11" t="e">
        <f t="shared" si="105"/>
        <v>#DIV/0!</v>
      </c>
      <c r="AE157" s="20"/>
    </row>
    <row r="158" spans="1:33" x14ac:dyDescent="0.25">
      <c r="H158" s="88">
        <v>20</v>
      </c>
      <c r="I158" s="78">
        <v>0.83333333333333304</v>
      </c>
      <c r="J158" s="79">
        <v>20</v>
      </c>
      <c r="K158" s="6">
        <f>'Step 2 - Facility Data Inputs'!I43</f>
        <v>0</v>
      </c>
      <c r="L158" s="179">
        <f t="shared" si="83"/>
        <v>0</v>
      </c>
      <c r="M158" s="72">
        <f t="shared" si="95"/>
        <v>0</v>
      </c>
      <c r="N158" s="72">
        <f t="shared" si="106"/>
        <v>0</v>
      </c>
      <c r="O158" s="72">
        <f t="shared" si="96"/>
        <v>0</v>
      </c>
      <c r="P158" s="83" t="e">
        <f t="shared" si="84"/>
        <v>#DIV/0!</v>
      </c>
      <c r="Q158" s="83" t="e">
        <f t="shared" si="85"/>
        <v>#DIV/0!</v>
      </c>
      <c r="R158" s="83" t="e">
        <f t="shared" si="86"/>
        <v>#DIV/0!</v>
      </c>
      <c r="S158" s="10">
        <f t="shared" si="87"/>
        <v>0</v>
      </c>
      <c r="T158" s="10">
        <f t="shared" si="97"/>
        <v>0</v>
      </c>
      <c r="U158" s="10">
        <f t="shared" ref="U158:U161" si="108">IF((K158&lt;S158),IF((S158-K158)&gt;V157,V157+K158+U157,S158+U157),(S158+U157))</f>
        <v>0</v>
      </c>
      <c r="V158" s="10">
        <f t="shared" si="99"/>
        <v>0</v>
      </c>
      <c r="W158" s="11" t="e">
        <f t="shared" si="100"/>
        <v>#DIV/0!</v>
      </c>
      <c r="X158" s="11">
        <f t="shared" si="89"/>
        <v>0</v>
      </c>
      <c r="Y158" s="83">
        <f t="shared" si="101"/>
        <v>0</v>
      </c>
      <c r="Z158" s="10">
        <f t="shared" si="107"/>
        <v>0</v>
      </c>
      <c r="AA158" s="11" t="e">
        <f t="shared" si="103"/>
        <v>#DIV/0!</v>
      </c>
      <c r="AB158" s="11" t="e">
        <f t="shared" si="93"/>
        <v>#DIV/0!</v>
      </c>
      <c r="AC158" s="11" t="e">
        <f t="shared" si="104"/>
        <v>#DIV/0!</v>
      </c>
      <c r="AD158" s="11" t="e">
        <f t="shared" si="105"/>
        <v>#DIV/0!</v>
      </c>
      <c r="AE158" s="20"/>
    </row>
    <row r="159" spans="1:33" x14ac:dyDescent="0.25">
      <c r="H159" s="88">
        <v>21</v>
      </c>
      <c r="I159" s="78">
        <v>0.875</v>
      </c>
      <c r="J159" s="79">
        <v>21</v>
      </c>
      <c r="K159" s="6">
        <f>'Step 2 - Facility Data Inputs'!I44</f>
        <v>0</v>
      </c>
      <c r="L159" s="179">
        <f t="shared" si="83"/>
        <v>0</v>
      </c>
      <c r="M159" s="72">
        <f t="shared" si="95"/>
        <v>0</v>
      </c>
      <c r="N159" s="72">
        <f t="shared" si="106"/>
        <v>0</v>
      </c>
      <c r="O159" s="72">
        <f t="shared" si="96"/>
        <v>0</v>
      </c>
      <c r="P159" s="83" t="e">
        <f t="shared" si="84"/>
        <v>#DIV/0!</v>
      </c>
      <c r="Q159" s="83" t="e">
        <f t="shared" si="85"/>
        <v>#DIV/0!</v>
      </c>
      <c r="R159" s="83" t="e">
        <f t="shared" si="86"/>
        <v>#DIV/0!</v>
      </c>
      <c r="S159" s="10">
        <f t="shared" si="87"/>
        <v>0</v>
      </c>
      <c r="T159" s="10">
        <f t="shared" si="97"/>
        <v>0</v>
      </c>
      <c r="U159" s="10">
        <f t="shared" si="108"/>
        <v>0</v>
      </c>
      <c r="V159" s="10">
        <f t="shared" si="99"/>
        <v>0</v>
      </c>
      <c r="W159" s="11" t="e">
        <f t="shared" si="100"/>
        <v>#DIV/0!</v>
      </c>
      <c r="X159" s="11">
        <f t="shared" si="89"/>
        <v>0</v>
      </c>
      <c r="Y159" s="83">
        <f t="shared" si="101"/>
        <v>0</v>
      </c>
      <c r="Z159" s="10">
        <f t="shared" si="107"/>
        <v>0</v>
      </c>
      <c r="AA159" s="11" t="e">
        <f t="shared" si="103"/>
        <v>#DIV/0!</v>
      </c>
      <c r="AB159" s="11" t="e">
        <f t="shared" si="93"/>
        <v>#DIV/0!</v>
      </c>
      <c r="AC159" s="11" t="e">
        <f t="shared" si="104"/>
        <v>#DIV/0!</v>
      </c>
      <c r="AD159" s="11" t="e">
        <f t="shared" si="105"/>
        <v>#DIV/0!</v>
      </c>
      <c r="AE159" s="20"/>
    </row>
    <row r="160" spans="1:33" x14ac:dyDescent="0.25">
      <c r="H160" s="88">
        <v>22</v>
      </c>
      <c r="I160" s="78">
        <v>0.91666666666666696</v>
      </c>
      <c r="J160" s="79">
        <v>22</v>
      </c>
      <c r="K160" s="6">
        <f>'Step 2 - Facility Data Inputs'!I45</f>
        <v>0</v>
      </c>
      <c r="L160" s="179">
        <f t="shared" si="83"/>
        <v>0</v>
      </c>
      <c r="M160" s="72">
        <f t="shared" si="95"/>
        <v>0</v>
      </c>
      <c r="N160" s="72">
        <f t="shared" si="106"/>
        <v>0</v>
      </c>
      <c r="O160" s="72">
        <f t="shared" si="96"/>
        <v>0</v>
      </c>
      <c r="P160" s="83" t="e">
        <f t="shared" si="84"/>
        <v>#DIV/0!</v>
      </c>
      <c r="Q160" s="83" t="e">
        <f t="shared" si="85"/>
        <v>#DIV/0!</v>
      </c>
      <c r="R160" s="83" t="e">
        <f t="shared" si="86"/>
        <v>#DIV/0!</v>
      </c>
      <c r="S160" s="10">
        <f t="shared" si="87"/>
        <v>0</v>
      </c>
      <c r="T160" s="10">
        <f t="shared" si="97"/>
        <v>0</v>
      </c>
      <c r="U160" s="10">
        <f t="shared" si="108"/>
        <v>0</v>
      </c>
      <c r="V160" s="10">
        <f t="shared" si="99"/>
        <v>0</v>
      </c>
      <c r="W160" s="11" t="e">
        <f t="shared" si="100"/>
        <v>#DIV/0!</v>
      </c>
      <c r="X160" s="11">
        <f t="shared" si="89"/>
        <v>0</v>
      </c>
      <c r="Y160" s="83">
        <f t="shared" si="101"/>
        <v>0</v>
      </c>
      <c r="Z160" s="10">
        <f t="shared" si="107"/>
        <v>0</v>
      </c>
      <c r="AA160" s="11" t="e">
        <f t="shared" si="103"/>
        <v>#DIV/0!</v>
      </c>
      <c r="AB160" s="11" t="e">
        <f t="shared" si="93"/>
        <v>#DIV/0!</v>
      </c>
      <c r="AC160" s="11" t="e">
        <f t="shared" si="104"/>
        <v>#DIV/0!</v>
      </c>
      <c r="AD160" s="11" t="e">
        <f t="shared" si="105"/>
        <v>#DIV/0!</v>
      </c>
      <c r="AE160" s="20"/>
    </row>
    <row r="161" spans="1:33" ht="13.8" thickBot="1" x14ac:dyDescent="0.3">
      <c r="H161" s="89">
        <v>23</v>
      </c>
      <c r="I161" s="78">
        <v>0.95833333333333304</v>
      </c>
      <c r="J161" s="79">
        <v>23</v>
      </c>
      <c r="K161" s="6">
        <f>'Step 2 - Facility Data Inputs'!I46</f>
        <v>0</v>
      </c>
      <c r="L161" s="179">
        <f t="shared" si="83"/>
        <v>0</v>
      </c>
      <c r="M161" s="72">
        <f t="shared" si="95"/>
        <v>0</v>
      </c>
      <c r="N161" s="72">
        <f t="shared" si="106"/>
        <v>0</v>
      </c>
      <c r="O161" s="72">
        <f t="shared" si="96"/>
        <v>0</v>
      </c>
      <c r="P161" s="83" t="e">
        <f t="shared" si="84"/>
        <v>#DIV/0!</v>
      </c>
      <c r="Q161" s="83" t="e">
        <f t="shared" si="85"/>
        <v>#DIV/0!</v>
      </c>
      <c r="R161" s="83" t="e">
        <f t="shared" si="86"/>
        <v>#DIV/0!</v>
      </c>
      <c r="S161" s="10">
        <f t="shared" si="87"/>
        <v>0</v>
      </c>
      <c r="T161" s="13">
        <f t="shared" si="97"/>
        <v>0</v>
      </c>
      <c r="U161" s="10">
        <f t="shared" si="108"/>
        <v>0</v>
      </c>
      <c r="V161" s="13">
        <f t="shared" si="99"/>
        <v>0</v>
      </c>
      <c r="W161" s="11" t="e">
        <f t="shared" si="100"/>
        <v>#DIV/0!</v>
      </c>
      <c r="X161" s="11">
        <f t="shared" si="89"/>
        <v>0</v>
      </c>
      <c r="Y161" s="83">
        <f t="shared" si="101"/>
        <v>0</v>
      </c>
      <c r="Z161" s="13">
        <f t="shared" si="107"/>
        <v>0</v>
      </c>
      <c r="AA161" s="14" t="e">
        <f t="shared" si="103"/>
        <v>#DIV/0!</v>
      </c>
      <c r="AB161" s="11" t="e">
        <f t="shared" si="93"/>
        <v>#DIV/0!</v>
      </c>
      <c r="AC161" s="11" t="e">
        <f>IF((X161-Q161)=0,IF(OR(AB160&lt;&gt;0,AB138&lt;&gt;0),0,NA()),X161)</f>
        <v>#DIV/0!</v>
      </c>
      <c r="AD161" s="11" t="e">
        <f t="shared" si="105"/>
        <v>#DIV/0!</v>
      </c>
      <c r="AE161" s="20"/>
    </row>
    <row r="162" spans="1:33" x14ac:dyDescent="0.25">
      <c r="I162" s="5"/>
      <c r="J162" s="5"/>
      <c r="K162" s="5"/>
      <c r="L162" s="73"/>
      <c r="M162" s="73"/>
      <c r="N162" s="73"/>
      <c r="O162" s="73"/>
      <c r="P162" s="97" t="e">
        <f>MAX(P138:P161)</f>
        <v>#DIV/0!</v>
      </c>
      <c r="Q162" s="97" t="e">
        <f>MAX(Q138:Q161)</f>
        <v>#DIV/0!</v>
      </c>
      <c r="R162" s="97" t="e">
        <f>(SUM(R138:R161))</f>
        <v>#DIV/0!</v>
      </c>
      <c r="S162" s="5"/>
      <c r="T162" s="5"/>
      <c r="U162" s="5"/>
      <c r="V162" s="5"/>
      <c r="W162" s="87" t="e">
        <f>MAX(W138:W161)</f>
        <v>#DIV/0!</v>
      </c>
      <c r="X162" s="97">
        <f>MAX(X138:X161)</f>
        <v>0</v>
      </c>
      <c r="Y162" s="97">
        <f>ROUND(SUM(Y138:Y161),0)</f>
        <v>0</v>
      </c>
      <c r="Z162" s="19">
        <f>SUM(Z138:Z161)</f>
        <v>0</v>
      </c>
      <c r="AA162" s="97" t="e">
        <f>MAX(AA138:AA161)</f>
        <v>#DIV/0!</v>
      </c>
      <c r="AB162" s="97" t="e">
        <f>MAX(AB138:AB161)</f>
        <v>#DIV/0!</v>
      </c>
      <c r="AC162" s="97"/>
      <c r="AD162" s="97" t="e">
        <f>ROUND(SUM(AD138:AD161),0)</f>
        <v>#DIV/0!</v>
      </c>
      <c r="AE162" s="20"/>
    </row>
    <row r="163" spans="1:33" x14ac:dyDescent="0.25">
      <c r="I163" s="5"/>
      <c r="J163" s="5"/>
      <c r="K163" s="5"/>
      <c r="L163" s="73"/>
      <c r="M163" s="73"/>
      <c r="N163" s="73"/>
      <c r="O163" s="73"/>
      <c r="P163" s="73"/>
      <c r="Q163" s="73"/>
      <c r="R163" s="73" t="e">
        <f>IF(R162&lt;100,ROUND(R162,0),IF(R162&lt;1000,ROUND(R162,-1),ROUND(R162,-2)))</f>
        <v>#DIV/0!</v>
      </c>
      <c r="S163" s="5"/>
      <c r="T163" s="5"/>
      <c r="U163" s="5"/>
      <c r="V163" s="5"/>
      <c r="W163" s="5"/>
      <c r="X163" s="5"/>
      <c r="Y163" s="73" t="e">
        <f>AD163+R163</f>
        <v>#DIV/0!</v>
      </c>
      <c r="AD163" s="73" t="e">
        <f>IF(AD162&lt;100,ROUND(AD162,0),IF(AD162&lt;1000,ROUND(AD162,-1),ROUND(AD162,-2)))</f>
        <v>#DIV/0!</v>
      </c>
    </row>
    <row r="164" spans="1:33" ht="13.8" thickBot="1" x14ac:dyDescent="0.3"/>
    <row r="165" spans="1:33" ht="40.200000000000003" x14ac:dyDescent="0.3">
      <c r="A165" s="271" t="str">
        <f>'Step 2 - Facility Data Inputs'!J19</f>
        <v>Friday</v>
      </c>
      <c r="B165" s="155"/>
      <c r="C165" s="156"/>
      <c r="D165" s="156"/>
      <c r="E165" s="157"/>
      <c r="F165" s="157"/>
      <c r="H165" s="7">
        <f>'Step 2 - Facility Data Inputs'!F136</f>
        <v>0</v>
      </c>
      <c r="I165" s="8" t="s">
        <v>2</v>
      </c>
      <c r="J165" s="8"/>
      <c r="K165" s="8" t="s">
        <v>5</v>
      </c>
      <c r="L165" s="92" t="s">
        <v>875</v>
      </c>
      <c r="M165" s="92" t="s">
        <v>877</v>
      </c>
      <c r="N165" s="92" t="s">
        <v>878</v>
      </c>
      <c r="O165" s="92" t="s">
        <v>879</v>
      </c>
      <c r="P165" s="92" t="s">
        <v>910</v>
      </c>
      <c r="Q165" s="92" t="s">
        <v>880</v>
      </c>
      <c r="R165" s="92" t="s">
        <v>882</v>
      </c>
      <c r="S165" s="93" t="s">
        <v>6</v>
      </c>
      <c r="T165" s="94" t="s">
        <v>9</v>
      </c>
      <c r="U165" s="94" t="s">
        <v>11</v>
      </c>
      <c r="V165" s="94" t="s">
        <v>8</v>
      </c>
      <c r="W165" s="9" t="s">
        <v>7</v>
      </c>
      <c r="X165" s="9" t="s">
        <v>924</v>
      </c>
      <c r="Y165" s="94" t="s">
        <v>883</v>
      </c>
      <c r="Z165" s="95" t="s">
        <v>881</v>
      </c>
      <c r="AA165" s="95" t="s">
        <v>908</v>
      </c>
      <c r="AB165" s="95" t="s">
        <v>909</v>
      </c>
      <c r="AC165" s="96" t="s">
        <v>911</v>
      </c>
      <c r="AD165" s="96" t="s">
        <v>884</v>
      </c>
    </row>
    <row r="166" spans="1:33" ht="13.8" x14ac:dyDescent="0.25">
      <c r="A166" s="272"/>
      <c r="B166" s="122"/>
      <c r="C166" s="164" t="s">
        <v>906</v>
      </c>
      <c r="D166" s="2"/>
      <c r="E166" s="2"/>
      <c r="F166" s="2"/>
      <c r="H166" s="2"/>
      <c r="I166" s="10"/>
      <c r="J166" s="10"/>
      <c r="K166" s="10"/>
      <c r="L166" s="72"/>
      <c r="M166" s="72"/>
      <c r="N166" s="72"/>
      <c r="O166" s="72"/>
      <c r="P166" s="72"/>
      <c r="Q166" s="72"/>
      <c r="R166" s="72"/>
      <c r="S166" s="10"/>
      <c r="T166" s="10"/>
      <c r="U166" s="10"/>
      <c r="V166" s="10"/>
      <c r="W166" s="10"/>
      <c r="X166" s="10"/>
      <c r="Y166" s="10"/>
      <c r="Z166" s="10"/>
      <c r="AA166" s="10"/>
      <c r="AB166" s="10"/>
      <c r="AC166" s="10"/>
      <c r="AD166" s="10"/>
      <c r="AF166" s="4" t="s">
        <v>60</v>
      </c>
      <c r="AG166" s="22">
        <f>G176</f>
        <v>0</v>
      </c>
    </row>
    <row r="167" spans="1:33" ht="92.4" x14ac:dyDescent="0.25">
      <c r="A167" s="272"/>
      <c r="B167" s="122"/>
      <c r="C167" s="121" t="s">
        <v>912</v>
      </c>
      <c r="D167" s="194">
        <f>'Step 3 - WZ Analysis'!D117</f>
        <v>1900</v>
      </c>
      <c r="E167" s="176" t="s">
        <v>919</v>
      </c>
      <c r="F167" s="167">
        <f>D167*$I$10</f>
        <v>0</v>
      </c>
      <c r="H167" s="88">
        <v>0</v>
      </c>
      <c r="I167" s="78">
        <v>0</v>
      </c>
      <c r="J167" s="79">
        <v>0</v>
      </c>
      <c r="K167" s="6">
        <f>'Step 2 - Facility Data Inputs'!J23</f>
        <v>0</v>
      </c>
      <c r="L167" s="179">
        <f>$F$167</f>
        <v>0</v>
      </c>
      <c r="M167" s="72">
        <f>K167</f>
        <v>0</v>
      </c>
      <c r="N167" s="179">
        <f>MIN(K167,L167)</f>
        <v>0</v>
      </c>
      <c r="O167" s="72">
        <f>M167-K167</f>
        <v>0</v>
      </c>
      <c r="P167" s="83" t="e">
        <f>O167*$I$12/(5280*$I$10)</f>
        <v>#DIV/0!</v>
      </c>
      <c r="Q167" s="83" t="e">
        <f>60*O167/L167</f>
        <v>#DIV/0!</v>
      </c>
      <c r="R167" s="83" t="e">
        <f>((O167*Q167)*$I$11*$J$16/(60))+((O167*Q167)*(1-$I$11)*$J$17/(60))</f>
        <v>#DIV/0!</v>
      </c>
      <c r="S167" s="10">
        <f>IF($AG$170-H168&gt;=0,IF($G$175="",$F$174,$G$175),IF(AND(H167&gt;=$AG$166,H167&lt;$AG$166+$AG$167),IF($G$175="",$F$174,$G$175),$F$167))</f>
        <v>0</v>
      </c>
      <c r="T167" s="10">
        <f>K167</f>
        <v>0</v>
      </c>
      <c r="U167" s="10">
        <f>MIN(K167,S167)</f>
        <v>0</v>
      </c>
      <c r="V167" s="10">
        <f>T167-K167</f>
        <v>0</v>
      </c>
      <c r="W167" s="11" t="e">
        <f>V167*$I$12/(5280*$I$10)</f>
        <v>#DIV/0!</v>
      </c>
      <c r="X167" s="11">
        <f>IF(S167=0,60*V167,60*V167/S167)</f>
        <v>0</v>
      </c>
      <c r="Y167" s="83">
        <f>((V167*X167)*$I$11*$J$16/(60))+((V167*X167)*(1-$I$11)*$J$17/(60))</f>
        <v>0</v>
      </c>
      <c r="Z167" s="10">
        <f>V167-O167</f>
        <v>0</v>
      </c>
      <c r="AA167" s="11" t="e">
        <f>W167-P167</f>
        <v>#DIV/0!</v>
      </c>
      <c r="AB167" s="11" t="e">
        <f>X167-Q167</f>
        <v>#DIV/0!</v>
      </c>
      <c r="AC167" s="11" t="e">
        <f>IF((X167-Q167)=0,IF(OR(AB190&lt;&gt;0,AB168&lt;&gt;0),0,NA()),X167)</f>
        <v>#DIV/0!</v>
      </c>
      <c r="AD167" s="11" t="e">
        <f>Y167-R167</f>
        <v>#DIV/0!</v>
      </c>
      <c r="AE167" s="20"/>
      <c r="AF167" s="4" t="s">
        <v>61</v>
      </c>
      <c r="AG167" s="21">
        <f>D178</f>
        <v>0</v>
      </c>
    </row>
    <row r="168" spans="1:33" x14ac:dyDescent="0.25">
      <c r="A168" s="272"/>
      <c r="B168" s="122"/>
      <c r="C168" s="2"/>
      <c r="D168" s="125"/>
      <c r="E168" s="2"/>
      <c r="F168" s="2"/>
      <c r="H168" s="88">
        <v>1</v>
      </c>
      <c r="I168" s="78">
        <v>4.1666666666666699E-2</v>
      </c>
      <c r="J168" s="79">
        <v>1</v>
      </c>
      <c r="K168" s="6">
        <f>'Step 2 - Facility Data Inputs'!J24</f>
        <v>0</v>
      </c>
      <c r="L168" s="179">
        <f t="shared" ref="L168:L190" si="109">$F$167</f>
        <v>0</v>
      </c>
      <c r="M168" s="72">
        <f>M167+K168</f>
        <v>0</v>
      </c>
      <c r="N168" s="72">
        <f>IF((K168&lt;M168),IF((L168-K168)&gt;O167,O167+K168+N167,L168+N167),(L168+N167))</f>
        <v>0</v>
      </c>
      <c r="O168" s="72">
        <f>IF((K168&lt;L168),IF((L168-K168)&gt;O167,0,O167-(L168-K168)),(O167+(K168-L168)))</f>
        <v>0</v>
      </c>
      <c r="P168" s="83" t="e">
        <f t="shared" ref="P168:P190" si="110">O168*$I$12/(5280*$I$10)</f>
        <v>#DIV/0!</v>
      </c>
      <c r="Q168" s="83" t="e">
        <f t="shared" ref="Q168:Q190" si="111">60*O168/L168</f>
        <v>#DIV/0!</v>
      </c>
      <c r="R168" s="83" t="e">
        <f t="shared" ref="R168:R190" si="112">((O168*Q168)*$I$11*$J$16/(60))+((O168*Q168)*(1-$I$11)*$J$17/(60))</f>
        <v>#DIV/0!</v>
      </c>
      <c r="S168" s="10">
        <f t="shared" ref="S168:S190" si="113">IF($AG$170-H169&gt;=0,IF($G$175="",$F$174,$G$175),IF(AND(H168&gt;=$AG$166,H168&lt;$AG$166+$AG$167),IF($G$175="",$F$174,$G$175),$F$167))</f>
        <v>0</v>
      </c>
      <c r="T168" s="10">
        <f>T167+K168</f>
        <v>0</v>
      </c>
      <c r="U168" s="10">
        <f>IF((K168&lt;S168),IF((S168-K168)&gt;V167,V167+K168+U167,S168+U167),(S168+U167))</f>
        <v>0</v>
      </c>
      <c r="V168" s="10">
        <f>IF((K168&lt;S168),IF((S168-K168)&gt;V167,0,V167-(S168-K168)),(V167+(K168-S168)))</f>
        <v>0</v>
      </c>
      <c r="W168" s="11" t="e">
        <f t="shared" ref="W168" si="114">V168*$I$12/(5280*$I$10)</f>
        <v>#DIV/0!</v>
      </c>
      <c r="X168" s="11">
        <f t="shared" ref="X168:X190" si="115">IF(S168=0,60*V168,60*V168/S168)</f>
        <v>0</v>
      </c>
      <c r="Y168" s="83">
        <f t="shared" ref="Y168" si="116">((V168*X168)*$I$11*$J$16/(60))+((V168*X168)*(1-$I$11)*$J$17/(60))</f>
        <v>0</v>
      </c>
      <c r="Z168" s="10">
        <f t="shared" ref="Z168" si="117">V168-O168</f>
        <v>0</v>
      </c>
      <c r="AA168" s="11" t="e">
        <f t="shared" ref="AA168" si="118">W168-P168</f>
        <v>#DIV/0!</v>
      </c>
      <c r="AB168" s="11" t="e">
        <f t="shared" ref="AB168:AB190" si="119">X168-Q168</f>
        <v>#DIV/0!</v>
      </c>
      <c r="AC168" s="11" t="e">
        <f>IF((X168-Q168)=0,IF(OR(AB167&lt;&gt;0,AB169&lt;&gt;0),0,NA()),X168)</f>
        <v>#DIV/0!</v>
      </c>
      <c r="AD168" s="11" t="e">
        <f t="shared" ref="AD168" si="120">Y168-R168</f>
        <v>#DIV/0!</v>
      </c>
      <c r="AE168" s="20"/>
      <c r="AF168" s="90"/>
      <c r="AG168" s="74"/>
    </row>
    <row r="169" spans="1:33" ht="13.8" x14ac:dyDescent="0.25">
      <c r="A169" s="272"/>
      <c r="B169" s="122"/>
      <c r="C169" s="165" t="s">
        <v>841</v>
      </c>
      <c r="D169" s="125"/>
      <c r="E169" s="2"/>
      <c r="F169" s="2"/>
      <c r="H169" s="88">
        <v>2</v>
      </c>
      <c r="I169" s="78">
        <v>8.3333333333333301E-2</v>
      </c>
      <c r="J169" s="79">
        <v>2</v>
      </c>
      <c r="K169" s="6">
        <f>'Step 2 - Facility Data Inputs'!J25</f>
        <v>0</v>
      </c>
      <c r="L169" s="179">
        <f t="shared" si="109"/>
        <v>0</v>
      </c>
      <c r="M169" s="72">
        <f t="shared" ref="M169:M190" si="121">M168+K169</f>
        <v>0</v>
      </c>
      <c r="N169" s="72">
        <f>IF((K169&lt;M169),IF((L169-K169)&gt;O168,O168+K169+N168,L169+N168),(L169+N168))</f>
        <v>0</v>
      </c>
      <c r="O169" s="72">
        <f t="shared" ref="O169:O190" si="122">IF((K169&lt;L169),IF((L169-K169)&gt;O168,0,O168-(L169-K169)),(O168+(K169-L169)))</f>
        <v>0</v>
      </c>
      <c r="P169" s="83" t="e">
        <f t="shared" si="110"/>
        <v>#DIV/0!</v>
      </c>
      <c r="Q169" s="83" t="e">
        <f t="shared" si="111"/>
        <v>#DIV/0!</v>
      </c>
      <c r="R169" s="83" t="e">
        <f t="shared" si="112"/>
        <v>#DIV/0!</v>
      </c>
      <c r="S169" s="10">
        <f t="shared" si="113"/>
        <v>0</v>
      </c>
      <c r="T169" s="10">
        <f t="shared" ref="T169:T190" si="123">T168+K169</f>
        <v>0</v>
      </c>
      <c r="U169" s="10">
        <f t="shared" ref="U169:U185" si="124">IF((K169&lt;S169),IF((S169-K169)&gt;V168,V168+K169+U168,S169+U168),(S169+U168))</f>
        <v>0</v>
      </c>
      <c r="V169" s="10">
        <f t="shared" ref="V169:V190" si="125">IF((K169&lt;S169),IF((S169-K169)&gt;V168,0,V168-(S169-K169)),(V168+(K169-S169)))</f>
        <v>0</v>
      </c>
      <c r="W169" s="11" t="e">
        <f>V169*$I$12/(5280*$I$10)</f>
        <v>#DIV/0!</v>
      </c>
      <c r="X169" s="11">
        <f t="shared" si="115"/>
        <v>0</v>
      </c>
      <c r="Y169" s="83">
        <f>((V169*X169)*$I$11*$J$16/(60))+((V169*X169)*(1-$I$11)*$J$17/(60))</f>
        <v>0</v>
      </c>
      <c r="Z169" s="10">
        <f>V169-O169</f>
        <v>0</v>
      </c>
      <c r="AA169" s="11" t="e">
        <f>W169-P169</f>
        <v>#DIV/0!</v>
      </c>
      <c r="AB169" s="11" t="e">
        <f t="shared" si="119"/>
        <v>#DIV/0!</v>
      </c>
      <c r="AC169" s="11" t="e">
        <f>IF((X169-Q169)=0,IF(OR(AB168&lt;&gt;0,AB170&lt;&gt;0),0,NA()),X169)</f>
        <v>#DIV/0!</v>
      </c>
      <c r="AD169" s="11" t="e">
        <f>Y169-R169</f>
        <v>#DIV/0!</v>
      </c>
      <c r="AE169" s="20"/>
      <c r="AF169" s="90" t="s">
        <v>18</v>
      </c>
      <c r="AG169" s="74">
        <f>COUNT(H167:H190)</f>
        <v>24</v>
      </c>
    </row>
    <row r="170" spans="1:33" x14ac:dyDescent="0.25">
      <c r="A170" s="272"/>
      <c r="B170" s="122"/>
      <c r="C170" s="120" t="s">
        <v>920</v>
      </c>
      <c r="D170" s="262" t="str">
        <f>'Step 3 - WZ Analysis'!D120:F120</f>
        <v>(Example: Pothole Patching - Close One Lane OR Joint Repair - Two Lanes Closed)</v>
      </c>
      <c r="E170" s="262"/>
      <c r="F170" s="262"/>
      <c r="H170" s="88">
        <v>3</v>
      </c>
      <c r="I170" s="78">
        <v>0.125</v>
      </c>
      <c r="J170" s="79">
        <v>3</v>
      </c>
      <c r="K170" s="6">
        <f>'Step 2 - Facility Data Inputs'!J26</f>
        <v>0</v>
      </c>
      <c r="L170" s="179">
        <f t="shared" si="109"/>
        <v>0</v>
      </c>
      <c r="M170" s="72">
        <f t="shared" si="121"/>
        <v>0</v>
      </c>
      <c r="N170" s="72">
        <f>IF((K170&lt;M170),IF((L170-K170)&gt;O169,O169+K170+N169,L170+N169),(L170+N169))</f>
        <v>0</v>
      </c>
      <c r="O170" s="72">
        <f t="shared" si="122"/>
        <v>0</v>
      </c>
      <c r="P170" s="83" t="e">
        <f t="shared" si="110"/>
        <v>#DIV/0!</v>
      </c>
      <c r="Q170" s="83" t="e">
        <f t="shared" si="111"/>
        <v>#DIV/0!</v>
      </c>
      <c r="R170" s="83" t="e">
        <f t="shared" si="112"/>
        <v>#DIV/0!</v>
      </c>
      <c r="S170" s="10">
        <f t="shared" si="113"/>
        <v>0</v>
      </c>
      <c r="T170" s="10">
        <f t="shared" si="123"/>
        <v>0</v>
      </c>
      <c r="U170" s="10">
        <f t="shared" si="124"/>
        <v>0</v>
      </c>
      <c r="V170" s="10">
        <f t="shared" si="125"/>
        <v>0</v>
      </c>
      <c r="W170" s="11" t="e">
        <f t="shared" ref="W170:W190" si="126">V170*$I$12/(5280*$I$10)</f>
        <v>#DIV/0!</v>
      </c>
      <c r="X170" s="11">
        <f>IF(S170=0,60*V170,60*V170/S170)</f>
        <v>0</v>
      </c>
      <c r="Y170" s="83">
        <f t="shared" ref="Y170:Y190" si="127">((V170*X170)*$I$11*$J$16/(60))+((V170*X170)*(1-$I$11)*$J$17/(60))</f>
        <v>0</v>
      </c>
      <c r="Z170" s="10">
        <f t="shared" ref="Z170:Z172" si="128">V170-O170</f>
        <v>0</v>
      </c>
      <c r="AA170" s="11" t="e">
        <f t="shared" ref="AA170:AA190" si="129">W170-P170</f>
        <v>#DIV/0!</v>
      </c>
      <c r="AB170" s="11" t="e">
        <f t="shared" si="119"/>
        <v>#DIV/0!</v>
      </c>
      <c r="AC170" s="11" t="e">
        <f t="shared" ref="AC170:AC189" si="130">IF((X170-Q170)=0,IF(OR(AB169&lt;&gt;0,AB171&lt;&gt;0),0,NA()),X170)</f>
        <v>#DIV/0!</v>
      </c>
      <c r="AD170" s="11" t="e">
        <f t="shared" ref="AD170:AD190" si="131">Y170-R170</f>
        <v>#DIV/0!</v>
      </c>
      <c r="AE170" s="20"/>
      <c r="AF170" s="90" t="s">
        <v>19</v>
      </c>
      <c r="AG170" s="180">
        <f>AG166+AG167-AG169</f>
        <v>-24</v>
      </c>
    </row>
    <row r="171" spans="1:33" x14ac:dyDescent="0.25">
      <c r="A171" s="272"/>
      <c r="B171" s="122"/>
      <c r="C171" s="120" t="s">
        <v>913</v>
      </c>
      <c r="D171" s="274" t="str">
        <f>'Step 3 - WZ Analysis'!D121:F121</f>
        <v>No Work Zone (Use for Calibrating Existing Conditions)</v>
      </c>
      <c r="E171" s="274"/>
      <c r="F171" s="274"/>
      <c r="G171">
        <f>VLOOKUP(D171,'Reference Sheet'!$S$2:$T$8,2)</f>
        <v>538</v>
      </c>
      <c r="H171" s="88">
        <v>4</v>
      </c>
      <c r="I171" s="78">
        <v>0.16666666666666699</v>
      </c>
      <c r="J171" s="79">
        <v>4</v>
      </c>
      <c r="K171" s="6">
        <f>'Step 2 - Facility Data Inputs'!J27</f>
        <v>0</v>
      </c>
      <c r="L171" s="179">
        <f t="shared" si="109"/>
        <v>0</v>
      </c>
      <c r="M171" s="72">
        <f t="shared" si="121"/>
        <v>0</v>
      </c>
      <c r="N171" s="72">
        <f t="shared" ref="N171:N190" si="132">IF((K171&lt;M171),IF((L171-K171)&gt;O170,O170+K171+N170,L171+N170),(L171+N170))</f>
        <v>0</v>
      </c>
      <c r="O171" s="72">
        <f t="shared" si="122"/>
        <v>0</v>
      </c>
      <c r="P171" s="83" t="e">
        <f t="shared" si="110"/>
        <v>#DIV/0!</v>
      </c>
      <c r="Q171" s="83" t="e">
        <f t="shared" si="111"/>
        <v>#DIV/0!</v>
      </c>
      <c r="R171" s="83" t="e">
        <f t="shared" si="112"/>
        <v>#DIV/0!</v>
      </c>
      <c r="S171" s="10">
        <f t="shared" si="113"/>
        <v>0</v>
      </c>
      <c r="T171" s="10">
        <f t="shared" si="123"/>
        <v>0</v>
      </c>
      <c r="U171" s="10">
        <f t="shared" si="124"/>
        <v>0</v>
      </c>
      <c r="V171" s="10">
        <f t="shared" si="125"/>
        <v>0</v>
      </c>
      <c r="W171" s="11" t="e">
        <f t="shared" si="126"/>
        <v>#DIV/0!</v>
      </c>
      <c r="X171" s="11">
        <f t="shared" si="115"/>
        <v>0</v>
      </c>
      <c r="Y171" s="83">
        <f t="shared" si="127"/>
        <v>0</v>
      </c>
      <c r="Z171" s="10">
        <f t="shared" si="128"/>
        <v>0</v>
      </c>
      <c r="AA171" s="11" t="e">
        <f t="shared" si="129"/>
        <v>#DIV/0!</v>
      </c>
      <c r="AB171" s="11" t="e">
        <f t="shared" si="119"/>
        <v>#DIV/0!</v>
      </c>
      <c r="AC171" s="11" t="e">
        <f t="shared" si="130"/>
        <v>#DIV/0!</v>
      </c>
      <c r="AD171" s="11" t="e">
        <f t="shared" si="131"/>
        <v>#DIV/0!</v>
      </c>
      <c r="AE171" s="20"/>
    </row>
    <row r="172" spans="1:33" x14ac:dyDescent="0.25">
      <c r="A172" s="272"/>
      <c r="B172" s="122"/>
      <c r="C172" s="120" t="s">
        <v>914</v>
      </c>
      <c r="D172" s="275" t="str">
        <f>'Step 3 - WZ Analysis'!D122:F122</f>
        <v>&gt; 11.5</v>
      </c>
      <c r="E172" s="275"/>
      <c r="F172" s="275"/>
      <c r="G172">
        <f>VLOOKUP(D172,'Reference Sheet'!$V$2:$W$4,2)</f>
        <v>1</v>
      </c>
      <c r="H172" s="88">
        <v>5</v>
      </c>
      <c r="I172" s="78">
        <v>0.20833333333333301</v>
      </c>
      <c r="J172" s="79">
        <v>5</v>
      </c>
      <c r="K172" s="6">
        <f>'Step 2 - Facility Data Inputs'!J28</f>
        <v>0</v>
      </c>
      <c r="L172" s="179">
        <f t="shared" si="109"/>
        <v>0</v>
      </c>
      <c r="M172" s="72">
        <f t="shared" si="121"/>
        <v>0</v>
      </c>
      <c r="N172" s="72">
        <f t="shared" si="132"/>
        <v>0</v>
      </c>
      <c r="O172" s="72">
        <f t="shared" si="122"/>
        <v>0</v>
      </c>
      <c r="P172" s="83" t="e">
        <f t="shared" si="110"/>
        <v>#DIV/0!</v>
      </c>
      <c r="Q172" s="83" t="e">
        <f t="shared" si="111"/>
        <v>#DIV/0!</v>
      </c>
      <c r="R172" s="83" t="e">
        <f t="shared" si="112"/>
        <v>#DIV/0!</v>
      </c>
      <c r="S172" s="10">
        <f t="shared" si="113"/>
        <v>0</v>
      </c>
      <c r="T172" s="10">
        <f t="shared" si="123"/>
        <v>0</v>
      </c>
      <c r="U172" s="10">
        <f t="shared" si="124"/>
        <v>0</v>
      </c>
      <c r="V172" s="10">
        <f t="shared" si="125"/>
        <v>0</v>
      </c>
      <c r="W172" s="11" t="e">
        <f t="shared" si="126"/>
        <v>#DIV/0!</v>
      </c>
      <c r="X172" s="11">
        <f t="shared" si="115"/>
        <v>0</v>
      </c>
      <c r="Y172" s="83">
        <f t="shared" si="127"/>
        <v>0</v>
      </c>
      <c r="Z172" s="10">
        <f t="shared" si="128"/>
        <v>0</v>
      </c>
      <c r="AA172" s="11" t="e">
        <f t="shared" si="129"/>
        <v>#DIV/0!</v>
      </c>
      <c r="AB172" s="11" t="e">
        <f t="shared" si="119"/>
        <v>#DIV/0!</v>
      </c>
      <c r="AC172" s="11" t="e">
        <f t="shared" si="130"/>
        <v>#DIV/0!</v>
      </c>
      <c r="AD172" s="11" t="e">
        <f t="shared" si="131"/>
        <v>#DIV/0!</v>
      </c>
      <c r="AE172" s="20"/>
    </row>
    <row r="173" spans="1:33" x14ac:dyDescent="0.25">
      <c r="A173" s="272"/>
      <c r="B173" s="122"/>
      <c r="C173" s="120" t="s">
        <v>915</v>
      </c>
      <c r="D173" s="275">
        <f>'Step 3 - WZ Analysis'!D123:F123</f>
        <v>0</v>
      </c>
      <c r="E173" s="275"/>
      <c r="F173" s="275"/>
      <c r="H173" s="88">
        <v>6</v>
      </c>
      <c r="I173" s="78">
        <v>0.25</v>
      </c>
      <c r="J173" s="79">
        <v>6</v>
      </c>
      <c r="K173" s="6">
        <f>'Step 2 - Facility Data Inputs'!J29</f>
        <v>0</v>
      </c>
      <c r="L173" s="179">
        <f t="shared" si="109"/>
        <v>0</v>
      </c>
      <c r="M173" s="72">
        <f t="shared" si="121"/>
        <v>0</v>
      </c>
      <c r="N173" s="72">
        <f t="shared" si="132"/>
        <v>0</v>
      </c>
      <c r="O173" s="72">
        <f t="shared" si="122"/>
        <v>0</v>
      </c>
      <c r="P173" s="83" t="e">
        <f t="shared" si="110"/>
        <v>#DIV/0!</v>
      </c>
      <c r="Q173" s="83" t="e">
        <f t="shared" si="111"/>
        <v>#DIV/0!</v>
      </c>
      <c r="R173" s="83" t="e">
        <f t="shared" si="112"/>
        <v>#DIV/0!</v>
      </c>
      <c r="S173" s="10">
        <f t="shared" si="113"/>
        <v>0</v>
      </c>
      <c r="T173" s="10">
        <f t="shared" si="123"/>
        <v>0</v>
      </c>
      <c r="U173" s="10">
        <f t="shared" si="124"/>
        <v>0</v>
      </c>
      <c r="V173" s="10">
        <f t="shared" si="125"/>
        <v>0</v>
      </c>
      <c r="W173" s="11" t="e">
        <f t="shared" si="126"/>
        <v>#DIV/0!</v>
      </c>
      <c r="X173" s="11">
        <f t="shared" si="115"/>
        <v>0</v>
      </c>
      <c r="Y173" s="83">
        <f t="shared" si="127"/>
        <v>0</v>
      </c>
      <c r="Z173" s="10">
        <f>V173-O173</f>
        <v>0</v>
      </c>
      <c r="AA173" s="11" t="e">
        <f t="shared" si="129"/>
        <v>#DIV/0!</v>
      </c>
      <c r="AB173" s="11" t="e">
        <f t="shared" si="119"/>
        <v>#DIV/0!</v>
      </c>
      <c r="AC173" s="11" t="e">
        <f t="shared" si="130"/>
        <v>#DIV/0!</v>
      </c>
      <c r="AD173" s="11" t="e">
        <f t="shared" si="131"/>
        <v>#DIV/0!</v>
      </c>
      <c r="AE173" s="20"/>
      <c r="AF173" s="4" t="s">
        <v>57</v>
      </c>
      <c r="AG173" s="3">
        <f>MAX(X167:X190)</f>
        <v>0</v>
      </c>
    </row>
    <row r="174" spans="1:33" ht="66" x14ac:dyDescent="0.25">
      <c r="A174" s="272"/>
      <c r="B174" s="122"/>
      <c r="C174" s="121" t="s">
        <v>917</v>
      </c>
      <c r="D174" s="178">
        <f>IF(G171=538,D167,IF(VLOOKUP((G171+G172),'HCM 2010 Program'!$C$3:$H$20,6)&gt;(D167),D167,VLOOKUP((G171+G172),'HCM 2010 Program'!$C$3:$H$20,6)))</f>
        <v>1900</v>
      </c>
      <c r="E174" s="55" t="s">
        <v>922</v>
      </c>
      <c r="F174" s="168">
        <f>MIN((D174*D173),F167)</f>
        <v>0</v>
      </c>
      <c r="G174" s="55" t="s">
        <v>925</v>
      </c>
      <c r="H174" s="88">
        <v>7</v>
      </c>
      <c r="I174" s="78">
        <v>0.29166666666666702</v>
      </c>
      <c r="J174" s="79">
        <v>7</v>
      </c>
      <c r="K174" s="6">
        <f>'Step 2 - Facility Data Inputs'!J30</f>
        <v>0</v>
      </c>
      <c r="L174" s="179">
        <f t="shared" si="109"/>
        <v>0</v>
      </c>
      <c r="M174" s="72">
        <f t="shared" si="121"/>
        <v>0</v>
      </c>
      <c r="N174" s="72">
        <f t="shared" si="132"/>
        <v>0</v>
      </c>
      <c r="O174" s="72">
        <f t="shared" si="122"/>
        <v>0</v>
      </c>
      <c r="P174" s="83" t="e">
        <f t="shared" si="110"/>
        <v>#DIV/0!</v>
      </c>
      <c r="Q174" s="83" t="e">
        <f t="shared" si="111"/>
        <v>#DIV/0!</v>
      </c>
      <c r="R174" s="83" t="e">
        <f t="shared" si="112"/>
        <v>#DIV/0!</v>
      </c>
      <c r="S174" s="10">
        <f t="shared" si="113"/>
        <v>0</v>
      </c>
      <c r="T174" s="10">
        <f t="shared" si="123"/>
        <v>0</v>
      </c>
      <c r="U174" s="10">
        <f t="shared" si="124"/>
        <v>0</v>
      </c>
      <c r="V174" s="10">
        <f t="shared" si="125"/>
        <v>0</v>
      </c>
      <c r="W174" s="11" t="e">
        <f t="shared" si="126"/>
        <v>#DIV/0!</v>
      </c>
      <c r="X174" s="11">
        <f t="shared" si="115"/>
        <v>0</v>
      </c>
      <c r="Y174" s="83">
        <f t="shared" si="127"/>
        <v>0</v>
      </c>
      <c r="Z174" s="10">
        <f t="shared" ref="Z174:Z190" si="133">V174-O174</f>
        <v>0</v>
      </c>
      <c r="AA174" s="11" t="e">
        <f t="shared" si="129"/>
        <v>#DIV/0!</v>
      </c>
      <c r="AB174" s="11" t="e">
        <f t="shared" si="119"/>
        <v>#DIV/0!</v>
      </c>
      <c r="AC174" s="11" t="e">
        <f t="shared" si="130"/>
        <v>#DIV/0!</v>
      </c>
      <c r="AD174" s="11" t="e">
        <f t="shared" si="131"/>
        <v>#DIV/0!</v>
      </c>
      <c r="AE174" s="20"/>
    </row>
    <row r="175" spans="1:33" ht="79.2" x14ac:dyDescent="0.25">
      <c r="A175" s="272"/>
      <c r="B175" s="122"/>
      <c r="C175" s="121" t="s">
        <v>916</v>
      </c>
      <c r="D175" s="124"/>
      <c r="E175" s="195">
        <f>'Step 3 - WZ Analysis'!E125</f>
        <v>0</v>
      </c>
      <c r="F175" s="123"/>
      <c r="G175" s="74" t="str">
        <f>IF('Step 3 - WZ Analysis'!E125="","",'Step 3 - WZ Analysis'!E125)</f>
        <v/>
      </c>
      <c r="H175" s="88">
        <v>8</v>
      </c>
      <c r="I175" s="78">
        <v>0.33333333333333298</v>
      </c>
      <c r="J175" s="79">
        <v>8</v>
      </c>
      <c r="K175" s="6">
        <f>'Step 2 - Facility Data Inputs'!J31</f>
        <v>0</v>
      </c>
      <c r="L175" s="179">
        <f t="shared" si="109"/>
        <v>0</v>
      </c>
      <c r="M175" s="72">
        <f t="shared" si="121"/>
        <v>0</v>
      </c>
      <c r="N175" s="72">
        <f t="shared" si="132"/>
        <v>0</v>
      </c>
      <c r="O175" s="72">
        <f t="shared" si="122"/>
        <v>0</v>
      </c>
      <c r="P175" s="83" t="e">
        <f t="shared" si="110"/>
        <v>#DIV/0!</v>
      </c>
      <c r="Q175" s="83" t="e">
        <f t="shared" si="111"/>
        <v>#DIV/0!</v>
      </c>
      <c r="R175" s="83" t="e">
        <f t="shared" si="112"/>
        <v>#DIV/0!</v>
      </c>
      <c r="S175" s="10">
        <f t="shared" si="113"/>
        <v>0</v>
      </c>
      <c r="T175" s="10">
        <f t="shared" si="123"/>
        <v>0</v>
      </c>
      <c r="U175" s="10">
        <f t="shared" si="124"/>
        <v>0</v>
      </c>
      <c r="V175" s="10">
        <f t="shared" si="125"/>
        <v>0</v>
      </c>
      <c r="W175" s="11" t="e">
        <f t="shared" si="126"/>
        <v>#DIV/0!</v>
      </c>
      <c r="X175" s="11">
        <f t="shared" si="115"/>
        <v>0</v>
      </c>
      <c r="Y175" s="83">
        <f t="shared" si="127"/>
        <v>0</v>
      </c>
      <c r="Z175" s="10">
        <f t="shared" si="133"/>
        <v>0</v>
      </c>
      <c r="AA175" s="11" t="e">
        <f t="shared" si="129"/>
        <v>#DIV/0!</v>
      </c>
      <c r="AB175" s="11" t="e">
        <f t="shared" si="119"/>
        <v>#DIV/0!</v>
      </c>
      <c r="AC175" s="11" t="e">
        <f t="shared" si="130"/>
        <v>#DIV/0!</v>
      </c>
      <c r="AD175" s="11" t="e">
        <f t="shared" si="131"/>
        <v>#DIV/0!</v>
      </c>
      <c r="AE175" s="20"/>
      <c r="AF175" s="4" t="s">
        <v>58</v>
      </c>
      <c r="AG175" s="3" t="e">
        <f>(SUM(V167:V190)/T190)*60</f>
        <v>#DIV/0!</v>
      </c>
    </row>
    <row r="176" spans="1:33" x14ac:dyDescent="0.25">
      <c r="A176" s="272"/>
      <c r="B176" s="122"/>
      <c r="C176" s="114" t="s">
        <v>900</v>
      </c>
      <c r="D176" s="276">
        <f>'Step 3 - WZ Analysis'!D126:F126</f>
        <v>0</v>
      </c>
      <c r="E176" s="276"/>
      <c r="F176" s="276"/>
      <c r="G176" s="173">
        <f>VLOOKUP(D176,'WZ Analysis (Worksheet)'!$I$22:$J$45,2)</f>
        <v>0</v>
      </c>
      <c r="H176" s="88">
        <v>9</v>
      </c>
      <c r="I176" s="78">
        <v>0.375</v>
      </c>
      <c r="J176" s="79">
        <v>9</v>
      </c>
      <c r="K176" s="6">
        <f>'Step 2 - Facility Data Inputs'!J32</f>
        <v>0</v>
      </c>
      <c r="L176" s="179">
        <f t="shared" si="109"/>
        <v>0</v>
      </c>
      <c r="M176" s="72">
        <f t="shared" si="121"/>
        <v>0</v>
      </c>
      <c r="N176" s="72">
        <f t="shared" si="132"/>
        <v>0</v>
      </c>
      <c r="O176" s="72">
        <f t="shared" si="122"/>
        <v>0</v>
      </c>
      <c r="P176" s="83" t="e">
        <f t="shared" si="110"/>
        <v>#DIV/0!</v>
      </c>
      <c r="Q176" s="83" t="e">
        <f t="shared" si="111"/>
        <v>#DIV/0!</v>
      </c>
      <c r="R176" s="83" t="e">
        <f t="shared" si="112"/>
        <v>#DIV/0!</v>
      </c>
      <c r="S176" s="10">
        <f t="shared" si="113"/>
        <v>0</v>
      </c>
      <c r="T176" s="10">
        <f t="shared" si="123"/>
        <v>0</v>
      </c>
      <c r="U176" s="10">
        <f t="shared" si="124"/>
        <v>0</v>
      </c>
      <c r="V176" s="10">
        <f t="shared" si="125"/>
        <v>0</v>
      </c>
      <c r="W176" s="11" t="e">
        <f t="shared" si="126"/>
        <v>#DIV/0!</v>
      </c>
      <c r="X176" s="11">
        <f t="shared" si="115"/>
        <v>0</v>
      </c>
      <c r="Y176" s="83">
        <f t="shared" si="127"/>
        <v>0</v>
      </c>
      <c r="Z176" s="10">
        <f t="shared" si="133"/>
        <v>0</v>
      </c>
      <c r="AA176" s="11" t="e">
        <f t="shared" si="129"/>
        <v>#DIV/0!</v>
      </c>
      <c r="AB176" s="11" t="e">
        <f t="shared" si="119"/>
        <v>#DIV/0!</v>
      </c>
      <c r="AC176" s="11" t="e">
        <f t="shared" si="130"/>
        <v>#DIV/0!</v>
      </c>
      <c r="AD176" s="11" t="e">
        <f t="shared" si="131"/>
        <v>#DIV/0!</v>
      </c>
      <c r="AE176" s="20"/>
    </row>
    <row r="177" spans="1:33" x14ac:dyDescent="0.25">
      <c r="A177" s="272"/>
      <c r="B177" s="122"/>
      <c r="C177" s="114" t="s">
        <v>901</v>
      </c>
      <c r="D177" s="276">
        <f>'Step 3 - WZ Analysis'!D127:F127</f>
        <v>0</v>
      </c>
      <c r="E177" s="276"/>
      <c r="F177" s="276"/>
      <c r="G177" s="173">
        <f>VLOOKUP(D177,'WZ Analysis (Worksheet)'!$I$22:$J$45,2)</f>
        <v>0</v>
      </c>
      <c r="H177" s="88">
        <v>10</v>
      </c>
      <c r="I177" s="78">
        <v>0.41666666666666702</v>
      </c>
      <c r="J177" s="79">
        <v>10</v>
      </c>
      <c r="K177" s="6">
        <f>'Step 2 - Facility Data Inputs'!J33</f>
        <v>0</v>
      </c>
      <c r="L177" s="179">
        <f t="shared" si="109"/>
        <v>0</v>
      </c>
      <c r="M177" s="72">
        <f t="shared" si="121"/>
        <v>0</v>
      </c>
      <c r="N177" s="72">
        <f t="shared" si="132"/>
        <v>0</v>
      </c>
      <c r="O177" s="72">
        <f t="shared" si="122"/>
        <v>0</v>
      </c>
      <c r="P177" s="83" t="e">
        <f t="shared" si="110"/>
        <v>#DIV/0!</v>
      </c>
      <c r="Q177" s="83" t="e">
        <f t="shared" si="111"/>
        <v>#DIV/0!</v>
      </c>
      <c r="R177" s="83" t="e">
        <f t="shared" si="112"/>
        <v>#DIV/0!</v>
      </c>
      <c r="S177" s="10">
        <f t="shared" si="113"/>
        <v>0</v>
      </c>
      <c r="T177" s="10">
        <f t="shared" si="123"/>
        <v>0</v>
      </c>
      <c r="U177" s="10">
        <f t="shared" si="124"/>
        <v>0</v>
      </c>
      <c r="V177" s="10">
        <f t="shared" si="125"/>
        <v>0</v>
      </c>
      <c r="W177" s="11" t="e">
        <f t="shared" si="126"/>
        <v>#DIV/0!</v>
      </c>
      <c r="X177" s="11">
        <f t="shared" si="115"/>
        <v>0</v>
      </c>
      <c r="Y177" s="83">
        <f t="shared" si="127"/>
        <v>0</v>
      </c>
      <c r="Z177" s="10">
        <f t="shared" si="133"/>
        <v>0</v>
      </c>
      <c r="AA177" s="11" t="e">
        <f t="shared" si="129"/>
        <v>#DIV/0!</v>
      </c>
      <c r="AB177" s="11" t="e">
        <f t="shared" si="119"/>
        <v>#DIV/0!</v>
      </c>
      <c r="AC177" s="11" t="e">
        <f t="shared" si="130"/>
        <v>#DIV/0!</v>
      </c>
      <c r="AD177" s="11" t="e">
        <f t="shared" si="131"/>
        <v>#DIV/0!</v>
      </c>
      <c r="AE177" s="20"/>
      <c r="AF177" s="4" t="s">
        <v>17</v>
      </c>
      <c r="AG177" s="18">
        <f>Z191</f>
        <v>0</v>
      </c>
    </row>
    <row r="178" spans="1:33" x14ac:dyDescent="0.25">
      <c r="A178" s="272"/>
      <c r="B178" s="122"/>
      <c r="C178" s="114" t="s">
        <v>902</v>
      </c>
      <c r="D178" s="261">
        <f>'Step 3 - WZ Analysis'!D128:F128</f>
        <v>0</v>
      </c>
      <c r="E178" s="261"/>
      <c r="F178" s="261"/>
      <c r="H178" s="88">
        <v>11</v>
      </c>
      <c r="I178" s="78">
        <v>0.45833333333333298</v>
      </c>
      <c r="J178" s="79">
        <v>11</v>
      </c>
      <c r="K178" s="6">
        <f>'Step 2 - Facility Data Inputs'!J34</f>
        <v>0</v>
      </c>
      <c r="L178" s="179">
        <f t="shared" si="109"/>
        <v>0</v>
      </c>
      <c r="M178" s="72">
        <f t="shared" si="121"/>
        <v>0</v>
      </c>
      <c r="N178" s="72">
        <f t="shared" si="132"/>
        <v>0</v>
      </c>
      <c r="O178" s="72">
        <f t="shared" si="122"/>
        <v>0</v>
      </c>
      <c r="P178" s="83" t="e">
        <f t="shared" si="110"/>
        <v>#DIV/0!</v>
      </c>
      <c r="Q178" s="83" t="e">
        <f t="shared" si="111"/>
        <v>#DIV/0!</v>
      </c>
      <c r="R178" s="83" t="e">
        <f t="shared" si="112"/>
        <v>#DIV/0!</v>
      </c>
      <c r="S178" s="10">
        <f t="shared" si="113"/>
        <v>0</v>
      </c>
      <c r="T178" s="10">
        <f t="shared" si="123"/>
        <v>0</v>
      </c>
      <c r="U178" s="10">
        <f t="shared" si="124"/>
        <v>0</v>
      </c>
      <c r="V178" s="10">
        <f t="shared" si="125"/>
        <v>0</v>
      </c>
      <c r="W178" s="11" t="e">
        <f t="shared" si="126"/>
        <v>#DIV/0!</v>
      </c>
      <c r="X178" s="11">
        <f t="shared" si="115"/>
        <v>0</v>
      </c>
      <c r="Y178" s="83">
        <f t="shared" si="127"/>
        <v>0</v>
      </c>
      <c r="Z178" s="10">
        <f t="shared" si="133"/>
        <v>0</v>
      </c>
      <c r="AA178" s="11" t="e">
        <f t="shared" si="129"/>
        <v>#DIV/0!</v>
      </c>
      <c r="AB178" s="11" t="e">
        <f t="shared" si="119"/>
        <v>#DIV/0!</v>
      </c>
      <c r="AC178" s="11" t="e">
        <f t="shared" si="130"/>
        <v>#DIV/0!</v>
      </c>
      <c r="AD178" s="11" t="e">
        <f t="shared" si="131"/>
        <v>#DIV/0!</v>
      </c>
      <c r="AE178" s="20"/>
    </row>
    <row r="179" spans="1:33" x14ac:dyDescent="0.25">
      <c r="A179" s="272"/>
      <c r="B179" s="122"/>
      <c r="C179" s="117"/>
      <c r="D179" s="2"/>
      <c r="E179" s="2"/>
      <c r="F179" s="38"/>
      <c r="H179" s="88">
        <v>12</v>
      </c>
      <c r="I179" s="78">
        <v>0.5</v>
      </c>
      <c r="J179" s="79">
        <v>12</v>
      </c>
      <c r="K179" s="6">
        <f>'Step 2 - Facility Data Inputs'!J35</f>
        <v>0</v>
      </c>
      <c r="L179" s="179">
        <f t="shared" si="109"/>
        <v>0</v>
      </c>
      <c r="M179" s="72">
        <f t="shared" si="121"/>
        <v>0</v>
      </c>
      <c r="N179" s="72">
        <f t="shared" si="132"/>
        <v>0</v>
      </c>
      <c r="O179" s="72">
        <f t="shared" si="122"/>
        <v>0</v>
      </c>
      <c r="P179" s="83" t="e">
        <f t="shared" si="110"/>
        <v>#DIV/0!</v>
      </c>
      <c r="Q179" s="83" t="e">
        <f t="shared" si="111"/>
        <v>#DIV/0!</v>
      </c>
      <c r="R179" s="83" t="e">
        <f t="shared" si="112"/>
        <v>#DIV/0!</v>
      </c>
      <c r="S179" s="10">
        <f t="shared" si="113"/>
        <v>0</v>
      </c>
      <c r="T179" s="10">
        <f t="shared" si="123"/>
        <v>0</v>
      </c>
      <c r="U179" s="10">
        <f t="shared" si="124"/>
        <v>0</v>
      </c>
      <c r="V179" s="10">
        <f t="shared" si="125"/>
        <v>0</v>
      </c>
      <c r="W179" s="11" t="e">
        <f t="shared" si="126"/>
        <v>#DIV/0!</v>
      </c>
      <c r="X179" s="11">
        <f t="shared" si="115"/>
        <v>0</v>
      </c>
      <c r="Y179" s="83">
        <f t="shared" si="127"/>
        <v>0</v>
      </c>
      <c r="Z179" s="10">
        <f t="shared" si="133"/>
        <v>0</v>
      </c>
      <c r="AA179" s="11" t="e">
        <f t="shared" si="129"/>
        <v>#DIV/0!</v>
      </c>
      <c r="AB179" s="11" t="e">
        <f t="shared" si="119"/>
        <v>#DIV/0!</v>
      </c>
      <c r="AC179" s="11" t="e">
        <f t="shared" si="130"/>
        <v>#DIV/0!</v>
      </c>
      <c r="AD179" s="11" t="e">
        <f t="shared" si="131"/>
        <v>#DIV/0!</v>
      </c>
      <c r="AE179" s="20"/>
      <c r="AF179" s="4" t="s">
        <v>59</v>
      </c>
      <c r="AG179" s="3" t="e">
        <f>W191</f>
        <v>#DIV/0!</v>
      </c>
    </row>
    <row r="180" spans="1:33" ht="13.8" x14ac:dyDescent="0.25">
      <c r="A180" s="272"/>
      <c r="B180" s="122"/>
      <c r="C180" s="164" t="s">
        <v>896</v>
      </c>
      <c r="D180" s="2"/>
      <c r="E180" s="2"/>
      <c r="F180" s="38"/>
      <c r="H180" s="88">
        <v>13</v>
      </c>
      <c r="I180" s="78">
        <v>0.54166666666666696</v>
      </c>
      <c r="J180" s="79">
        <v>13</v>
      </c>
      <c r="K180" s="6">
        <f>'Step 2 - Facility Data Inputs'!J36</f>
        <v>0</v>
      </c>
      <c r="L180" s="179">
        <f t="shared" si="109"/>
        <v>0</v>
      </c>
      <c r="M180" s="72">
        <f t="shared" si="121"/>
        <v>0</v>
      </c>
      <c r="N180" s="72">
        <f t="shared" si="132"/>
        <v>0</v>
      </c>
      <c r="O180" s="72">
        <f t="shared" si="122"/>
        <v>0</v>
      </c>
      <c r="P180" s="83" t="e">
        <f t="shared" si="110"/>
        <v>#DIV/0!</v>
      </c>
      <c r="Q180" s="83" t="e">
        <f t="shared" si="111"/>
        <v>#DIV/0!</v>
      </c>
      <c r="R180" s="83" t="e">
        <f t="shared" si="112"/>
        <v>#DIV/0!</v>
      </c>
      <c r="S180" s="10">
        <f t="shared" si="113"/>
        <v>0</v>
      </c>
      <c r="T180" s="10">
        <f t="shared" si="123"/>
        <v>0</v>
      </c>
      <c r="U180" s="10">
        <f t="shared" si="124"/>
        <v>0</v>
      </c>
      <c r="V180" s="10">
        <f t="shared" si="125"/>
        <v>0</v>
      </c>
      <c r="W180" s="11" t="e">
        <f t="shared" si="126"/>
        <v>#DIV/0!</v>
      </c>
      <c r="X180" s="11">
        <f t="shared" si="115"/>
        <v>0</v>
      </c>
      <c r="Y180" s="83">
        <f t="shared" si="127"/>
        <v>0</v>
      </c>
      <c r="Z180" s="10">
        <f t="shared" si="133"/>
        <v>0</v>
      </c>
      <c r="AA180" s="11" t="e">
        <f t="shared" si="129"/>
        <v>#DIV/0!</v>
      </c>
      <c r="AB180" s="11" t="e">
        <f t="shared" si="119"/>
        <v>#DIV/0!</v>
      </c>
      <c r="AC180" s="11" t="e">
        <f t="shared" si="130"/>
        <v>#DIV/0!</v>
      </c>
      <c r="AD180" s="11" t="e">
        <f t="shared" si="131"/>
        <v>#DIV/0!</v>
      </c>
      <c r="AE180" s="20"/>
    </row>
    <row r="181" spans="1:33" x14ac:dyDescent="0.25">
      <c r="A181" s="272"/>
      <c r="B181" s="122"/>
      <c r="C181" s="114" t="s">
        <v>899</v>
      </c>
      <c r="D181" s="118" t="s">
        <v>895</v>
      </c>
      <c r="E181" s="118" t="s">
        <v>898</v>
      </c>
      <c r="F181" s="119" t="s">
        <v>897</v>
      </c>
      <c r="H181" s="88">
        <v>14</v>
      </c>
      <c r="I181" s="78">
        <v>0.58333333333333304</v>
      </c>
      <c r="J181" s="79">
        <v>14</v>
      </c>
      <c r="K181" s="6">
        <f>'Step 2 - Facility Data Inputs'!J37</f>
        <v>0</v>
      </c>
      <c r="L181" s="179">
        <f t="shared" si="109"/>
        <v>0</v>
      </c>
      <c r="M181" s="72">
        <f t="shared" si="121"/>
        <v>0</v>
      </c>
      <c r="N181" s="72">
        <f t="shared" si="132"/>
        <v>0</v>
      </c>
      <c r="O181" s="72">
        <f t="shared" si="122"/>
        <v>0</v>
      </c>
      <c r="P181" s="83" t="e">
        <f t="shared" si="110"/>
        <v>#DIV/0!</v>
      </c>
      <c r="Q181" s="83" t="e">
        <f t="shared" si="111"/>
        <v>#DIV/0!</v>
      </c>
      <c r="R181" s="83" t="e">
        <f t="shared" si="112"/>
        <v>#DIV/0!</v>
      </c>
      <c r="S181" s="10">
        <f t="shared" si="113"/>
        <v>0</v>
      </c>
      <c r="T181" s="10">
        <f t="shared" si="123"/>
        <v>0</v>
      </c>
      <c r="U181" s="10">
        <f t="shared" si="124"/>
        <v>0</v>
      </c>
      <c r="V181" s="10">
        <f t="shared" si="125"/>
        <v>0</v>
      </c>
      <c r="W181" s="11" t="e">
        <f t="shared" si="126"/>
        <v>#DIV/0!</v>
      </c>
      <c r="X181" s="11">
        <f t="shared" si="115"/>
        <v>0</v>
      </c>
      <c r="Y181" s="83">
        <f t="shared" si="127"/>
        <v>0</v>
      </c>
      <c r="Z181" s="10">
        <f t="shared" si="133"/>
        <v>0</v>
      </c>
      <c r="AA181" s="11" t="e">
        <f t="shared" si="129"/>
        <v>#DIV/0!</v>
      </c>
      <c r="AB181" s="11" t="e">
        <f t="shared" si="119"/>
        <v>#DIV/0!</v>
      </c>
      <c r="AC181" s="11" t="e">
        <f t="shared" si="130"/>
        <v>#DIV/0!</v>
      </c>
      <c r="AD181" s="11" t="e">
        <f t="shared" si="131"/>
        <v>#DIV/0!</v>
      </c>
      <c r="AE181" s="20"/>
    </row>
    <row r="182" spans="1:33" x14ac:dyDescent="0.25">
      <c r="A182" s="272"/>
      <c r="B182" s="122"/>
      <c r="C182" s="114" t="s">
        <v>903</v>
      </c>
      <c r="D182" s="112" t="e">
        <f>P191</f>
        <v>#DIV/0!</v>
      </c>
      <c r="E182" s="112" t="e">
        <f>AA191</f>
        <v>#DIV/0!</v>
      </c>
      <c r="F182" s="112" t="e">
        <f>W191</f>
        <v>#DIV/0!</v>
      </c>
      <c r="H182" s="88">
        <v>15</v>
      </c>
      <c r="I182" s="78">
        <v>0.625</v>
      </c>
      <c r="J182" s="79">
        <v>15</v>
      </c>
      <c r="K182" s="6">
        <f>'Step 2 - Facility Data Inputs'!J38</f>
        <v>0</v>
      </c>
      <c r="L182" s="179">
        <f t="shared" si="109"/>
        <v>0</v>
      </c>
      <c r="M182" s="72">
        <f t="shared" si="121"/>
        <v>0</v>
      </c>
      <c r="N182" s="72">
        <f t="shared" si="132"/>
        <v>0</v>
      </c>
      <c r="O182" s="72">
        <f t="shared" si="122"/>
        <v>0</v>
      </c>
      <c r="P182" s="83" t="e">
        <f t="shared" si="110"/>
        <v>#DIV/0!</v>
      </c>
      <c r="Q182" s="83" t="e">
        <f t="shared" si="111"/>
        <v>#DIV/0!</v>
      </c>
      <c r="R182" s="83" t="e">
        <f t="shared" si="112"/>
        <v>#DIV/0!</v>
      </c>
      <c r="S182" s="10">
        <f t="shared" si="113"/>
        <v>0</v>
      </c>
      <c r="T182" s="10">
        <f t="shared" si="123"/>
        <v>0</v>
      </c>
      <c r="U182" s="10">
        <f t="shared" si="124"/>
        <v>0</v>
      </c>
      <c r="V182" s="10">
        <f t="shared" si="125"/>
        <v>0</v>
      </c>
      <c r="W182" s="11" t="e">
        <f t="shared" si="126"/>
        <v>#DIV/0!</v>
      </c>
      <c r="X182" s="11">
        <f t="shared" si="115"/>
        <v>0</v>
      </c>
      <c r="Y182" s="83">
        <f t="shared" si="127"/>
        <v>0</v>
      </c>
      <c r="Z182" s="10">
        <f t="shared" si="133"/>
        <v>0</v>
      </c>
      <c r="AA182" s="11" t="e">
        <f t="shared" si="129"/>
        <v>#DIV/0!</v>
      </c>
      <c r="AB182" s="11" t="e">
        <f t="shared" si="119"/>
        <v>#DIV/0!</v>
      </c>
      <c r="AC182" s="11" t="e">
        <f t="shared" si="130"/>
        <v>#DIV/0!</v>
      </c>
      <c r="AD182" s="11" t="e">
        <f t="shared" si="131"/>
        <v>#DIV/0!</v>
      </c>
      <c r="AE182" s="20"/>
    </row>
    <row r="183" spans="1:33" x14ac:dyDescent="0.25">
      <c r="A183" s="272"/>
      <c r="B183" s="122"/>
      <c r="C183" s="114" t="s">
        <v>904</v>
      </c>
      <c r="D183" s="113" t="e">
        <f>Q191</f>
        <v>#DIV/0!</v>
      </c>
      <c r="E183" s="113" t="e">
        <f>AB191</f>
        <v>#DIV/0!</v>
      </c>
      <c r="F183" s="113">
        <f>X191</f>
        <v>0</v>
      </c>
      <c r="H183" s="88">
        <v>16</v>
      </c>
      <c r="I183" s="78">
        <v>0.66666666666666696</v>
      </c>
      <c r="J183" s="79">
        <v>16</v>
      </c>
      <c r="K183" s="6">
        <f>'Step 2 - Facility Data Inputs'!J39</f>
        <v>0</v>
      </c>
      <c r="L183" s="179">
        <f t="shared" si="109"/>
        <v>0</v>
      </c>
      <c r="M183" s="72">
        <f t="shared" si="121"/>
        <v>0</v>
      </c>
      <c r="N183" s="72">
        <f t="shared" si="132"/>
        <v>0</v>
      </c>
      <c r="O183" s="72">
        <f t="shared" si="122"/>
        <v>0</v>
      </c>
      <c r="P183" s="83" t="e">
        <f t="shared" si="110"/>
        <v>#DIV/0!</v>
      </c>
      <c r="Q183" s="83" t="e">
        <f t="shared" si="111"/>
        <v>#DIV/0!</v>
      </c>
      <c r="R183" s="83" t="e">
        <f t="shared" si="112"/>
        <v>#DIV/0!</v>
      </c>
      <c r="S183" s="10">
        <f t="shared" si="113"/>
        <v>0</v>
      </c>
      <c r="T183" s="10">
        <f t="shared" si="123"/>
        <v>0</v>
      </c>
      <c r="U183" s="10">
        <f t="shared" si="124"/>
        <v>0</v>
      </c>
      <c r="V183" s="10">
        <f t="shared" si="125"/>
        <v>0</v>
      </c>
      <c r="W183" s="11" t="e">
        <f t="shared" si="126"/>
        <v>#DIV/0!</v>
      </c>
      <c r="X183" s="11">
        <f t="shared" si="115"/>
        <v>0</v>
      </c>
      <c r="Y183" s="83">
        <f t="shared" si="127"/>
        <v>0</v>
      </c>
      <c r="Z183" s="10">
        <f t="shared" si="133"/>
        <v>0</v>
      </c>
      <c r="AA183" s="11" t="e">
        <f t="shared" si="129"/>
        <v>#DIV/0!</v>
      </c>
      <c r="AB183" s="11" t="e">
        <f t="shared" si="119"/>
        <v>#DIV/0!</v>
      </c>
      <c r="AC183" s="11" t="e">
        <f t="shared" si="130"/>
        <v>#DIV/0!</v>
      </c>
      <c r="AD183" s="11" t="e">
        <f t="shared" si="131"/>
        <v>#DIV/0!</v>
      </c>
      <c r="AE183" s="20"/>
    </row>
    <row r="184" spans="1:33" x14ac:dyDescent="0.25">
      <c r="A184" s="272"/>
      <c r="B184" s="122"/>
      <c r="C184" s="114" t="s">
        <v>905</v>
      </c>
      <c r="D184" s="115" t="e">
        <f>R192</f>
        <v>#DIV/0!</v>
      </c>
      <c r="E184" s="115" t="e">
        <f>AD192</f>
        <v>#DIV/0!</v>
      </c>
      <c r="F184" s="115" t="e">
        <f>Y192</f>
        <v>#DIV/0!</v>
      </c>
      <c r="H184" s="88">
        <v>17</v>
      </c>
      <c r="I184" s="78">
        <v>0.70833333333333304</v>
      </c>
      <c r="J184" s="79">
        <v>17</v>
      </c>
      <c r="K184" s="6">
        <f>'Step 2 - Facility Data Inputs'!J40</f>
        <v>0</v>
      </c>
      <c r="L184" s="179">
        <f t="shared" si="109"/>
        <v>0</v>
      </c>
      <c r="M184" s="72">
        <f t="shared" si="121"/>
        <v>0</v>
      </c>
      <c r="N184" s="72">
        <f t="shared" si="132"/>
        <v>0</v>
      </c>
      <c r="O184" s="72">
        <f t="shared" si="122"/>
        <v>0</v>
      </c>
      <c r="P184" s="83" t="e">
        <f t="shared" si="110"/>
        <v>#DIV/0!</v>
      </c>
      <c r="Q184" s="83" t="e">
        <f t="shared" si="111"/>
        <v>#DIV/0!</v>
      </c>
      <c r="R184" s="83" t="e">
        <f t="shared" si="112"/>
        <v>#DIV/0!</v>
      </c>
      <c r="S184" s="10">
        <f t="shared" si="113"/>
        <v>0</v>
      </c>
      <c r="T184" s="10">
        <f t="shared" si="123"/>
        <v>0</v>
      </c>
      <c r="U184" s="10">
        <f t="shared" si="124"/>
        <v>0</v>
      </c>
      <c r="V184" s="10">
        <f t="shared" si="125"/>
        <v>0</v>
      </c>
      <c r="W184" s="11" t="e">
        <f t="shared" si="126"/>
        <v>#DIV/0!</v>
      </c>
      <c r="X184" s="11">
        <f t="shared" si="115"/>
        <v>0</v>
      </c>
      <c r="Y184" s="83">
        <f t="shared" si="127"/>
        <v>0</v>
      </c>
      <c r="Z184" s="10">
        <f t="shared" si="133"/>
        <v>0</v>
      </c>
      <c r="AA184" s="11" t="e">
        <f t="shared" si="129"/>
        <v>#DIV/0!</v>
      </c>
      <c r="AB184" s="11" t="e">
        <f t="shared" si="119"/>
        <v>#DIV/0!</v>
      </c>
      <c r="AC184" s="11" t="e">
        <f t="shared" si="130"/>
        <v>#DIV/0!</v>
      </c>
      <c r="AD184" s="11" t="e">
        <f t="shared" si="131"/>
        <v>#DIV/0!</v>
      </c>
      <c r="AE184" s="20"/>
    </row>
    <row r="185" spans="1:33" ht="13.8" thickBot="1" x14ac:dyDescent="0.3">
      <c r="A185" s="273"/>
      <c r="B185" s="161"/>
      <c r="C185" s="162"/>
      <c r="D185" s="162"/>
      <c r="E185" s="162"/>
      <c r="F185" s="12"/>
      <c r="H185" s="88">
        <v>18</v>
      </c>
      <c r="I185" s="78">
        <v>0.75</v>
      </c>
      <c r="J185" s="79">
        <v>18</v>
      </c>
      <c r="K185" s="6">
        <f>'Step 2 - Facility Data Inputs'!J41</f>
        <v>0</v>
      </c>
      <c r="L185" s="179">
        <f t="shared" si="109"/>
        <v>0</v>
      </c>
      <c r="M185" s="72">
        <f t="shared" si="121"/>
        <v>0</v>
      </c>
      <c r="N185" s="72">
        <f t="shared" si="132"/>
        <v>0</v>
      </c>
      <c r="O185" s="72">
        <f t="shared" si="122"/>
        <v>0</v>
      </c>
      <c r="P185" s="83" t="e">
        <f t="shared" si="110"/>
        <v>#DIV/0!</v>
      </c>
      <c r="Q185" s="83" t="e">
        <f t="shared" si="111"/>
        <v>#DIV/0!</v>
      </c>
      <c r="R185" s="83" t="e">
        <f t="shared" si="112"/>
        <v>#DIV/0!</v>
      </c>
      <c r="S185" s="10">
        <f t="shared" si="113"/>
        <v>0</v>
      </c>
      <c r="T185" s="10">
        <f t="shared" si="123"/>
        <v>0</v>
      </c>
      <c r="U185" s="10">
        <f t="shared" si="124"/>
        <v>0</v>
      </c>
      <c r="V185" s="10">
        <f t="shared" si="125"/>
        <v>0</v>
      </c>
      <c r="W185" s="11" t="e">
        <f t="shared" si="126"/>
        <v>#DIV/0!</v>
      </c>
      <c r="X185" s="11">
        <f t="shared" si="115"/>
        <v>0</v>
      </c>
      <c r="Y185" s="83">
        <f t="shared" si="127"/>
        <v>0</v>
      </c>
      <c r="Z185" s="10">
        <f t="shared" si="133"/>
        <v>0</v>
      </c>
      <c r="AA185" s="11" t="e">
        <f t="shared" si="129"/>
        <v>#DIV/0!</v>
      </c>
      <c r="AB185" s="11" t="e">
        <f t="shared" si="119"/>
        <v>#DIV/0!</v>
      </c>
      <c r="AC185" s="11" t="e">
        <f t="shared" si="130"/>
        <v>#DIV/0!</v>
      </c>
      <c r="AD185" s="11" t="e">
        <f t="shared" si="131"/>
        <v>#DIV/0!</v>
      </c>
      <c r="AE185" s="20"/>
    </row>
    <row r="186" spans="1:33" x14ac:dyDescent="0.25">
      <c r="H186" s="88">
        <v>19</v>
      </c>
      <c r="I186" s="78">
        <v>0.79166666666666696</v>
      </c>
      <c r="J186" s="79">
        <v>19</v>
      </c>
      <c r="K186" s="6">
        <f>'Step 2 - Facility Data Inputs'!J42</f>
        <v>0</v>
      </c>
      <c r="L186" s="179">
        <f t="shared" si="109"/>
        <v>0</v>
      </c>
      <c r="M186" s="72">
        <f t="shared" si="121"/>
        <v>0</v>
      </c>
      <c r="N186" s="72">
        <f t="shared" si="132"/>
        <v>0</v>
      </c>
      <c r="O186" s="72">
        <f t="shared" si="122"/>
        <v>0</v>
      </c>
      <c r="P186" s="83" t="e">
        <f t="shared" si="110"/>
        <v>#DIV/0!</v>
      </c>
      <c r="Q186" s="83" t="e">
        <f t="shared" si="111"/>
        <v>#DIV/0!</v>
      </c>
      <c r="R186" s="83" t="e">
        <f t="shared" si="112"/>
        <v>#DIV/0!</v>
      </c>
      <c r="S186" s="10">
        <f t="shared" si="113"/>
        <v>0</v>
      </c>
      <c r="T186" s="10">
        <f t="shared" si="123"/>
        <v>0</v>
      </c>
      <c r="U186" s="10">
        <f>IF((K186&lt;S186),IF((S186-K186)&gt;V185,V185+K186+U185,S186+U185),(S186+U185))</f>
        <v>0</v>
      </c>
      <c r="V186" s="10">
        <f t="shared" si="125"/>
        <v>0</v>
      </c>
      <c r="W186" s="11" t="e">
        <f t="shared" si="126"/>
        <v>#DIV/0!</v>
      </c>
      <c r="X186" s="11">
        <f t="shared" si="115"/>
        <v>0</v>
      </c>
      <c r="Y186" s="83">
        <f t="shared" si="127"/>
        <v>0</v>
      </c>
      <c r="Z186" s="10">
        <f t="shared" si="133"/>
        <v>0</v>
      </c>
      <c r="AA186" s="11" t="e">
        <f t="shared" si="129"/>
        <v>#DIV/0!</v>
      </c>
      <c r="AB186" s="11" t="e">
        <f t="shared" si="119"/>
        <v>#DIV/0!</v>
      </c>
      <c r="AC186" s="11" t="e">
        <f t="shared" si="130"/>
        <v>#DIV/0!</v>
      </c>
      <c r="AD186" s="11" t="e">
        <f t="shared" si="131"/>
        <v>#DIV/0!</v>
      </c>
      <c r="AE186" s="20"/>
    </row>
    <row r="187" spans="1:33" x14ac:dyDescent="0.25">
      <c r="H187" s="88">
        <v>20</v>
      </c>
      <c r="I187" s="78">
        <v>0.83333333333333304</v>
      </c>
      <c r="J187" s="79">
        <v>20</v>
      </c>
      <c r="K187" s="6">
        <f>'Step 2 - Facility Data Inputs'!J43</f>
        <v>0</v>
      </c>
      <c r="L187" s="179">
        <f t="shared" si="109"/>
        <v>0</v>
      </c>
      <c r="M187" s="72">
        <f t="shared" si="121"/>
        <v>0</v>
      </c>
      <c r="N187" s="72">
        <f t="shared" si="132"/>
        <v>0</v>
      </c>
      <c r="O187" s="72">
        <f t="shared" si="122"/>
        <v>0</v>
      </c>
      <c r="P187" s="83" t="e">
        <f t="shared" si="110"/>
        <v>#DIV/0!</v>
      </c>
      <c r="Q187" s="83" t="e">
        <f t="shared" si="111"/>
        <v>#DIV/0!</v>
      </c>
      <c r="R187" s="83" t="e">
        <f t="shared" si="112"/>
        <v>#DIV/0!</v>
      </c>
      <c r="S187" s="10">
        <f t="shared" si="113"/>
        <v>0</v>
      </c>
      <c r="T187" s="10">
        <f t="shared" si="123"/>
        <v>0</v>
      </c>
      <c r="U187" s="10">
        <f t="shared" ref="U187:U190" si="134">IF((K187&lt;S187),IF((S187-K187)&gt;V186,V186+K187+U186,S187+U186),(S187+U186))</f>
        <v>0</v>
      </c>
      <c r="V187" s="10">
        <f t="shared" si="125"/>
        <v>0</v>
      </c>
      <c r="W187" s="11" t="e">
        <f t="shared" si="126"/>
        <v>#DIV/0!</v>
      </c>
      <c r="X187" s="11">
        <f t="shared" si="115"/>
        <v>0</v>
      </c>
      <c r="Y187" s="83">
        <f t="shared" si="127"/>
        <v>0</v>
      </c>
      <c r="Z187" s="10">
        <f t="shared" si="133"/>
        <v>0</v>
      </c>
      <c r="AA187" s="11" t="e">
        <f t="shared" si="129"/>
        <v>#DIV/0!</v>
      </c>
      <c r="AB187" s="11" t="e">
        <f t="shared" si="119"/>
        <v>#DIV/0!</v>
      </c>
      <c r="AC187" s="11" t="e">
        <f t="shared" si="130"/>
        <v>#DIV/0!</v>
      </c>
      <c r="AD187" s="11" t="e">
        <f t="shared" si="131"/>
        <v>#DIV/0!</v>
      </c>
      <c r="AE187" s="20"/>
    </row>
    <row r="188" spans="1:33" x14ac:dyDescent="0.25">
      <c r="H188" s="88">
        <v>21</v>
      </c>
      <c r="I188" s="78">
        <v>0.875</v>
      </c>
      <c r="J188" s="79">
        <v>21</v>
      </c>
      <c r="K188" s="6">
        <f>'Step 2 - Facility Data Inputs'!J44</f>
        <v>0</v>
      </c>
      <c r="L188" s="179">
        <f t="shared" si="109"/>
        <v>0</v>
      </c>
      <c r="M188" s="72">
        <f t="shared" si="121"/>
        <v>0</v>
      </c>
      <c r="N188" s="72">
        <f t="shared" si="132"/>
        <v>0</v>
      </c>
      <c r="O188" s="72">
        <f t="shared" si="122"/>
        <v>0</v>
      </c>
      <c r="P188" s="83" t="e">
        <f t="shared" si="110"/>
        <v>#DIV/0!</v>
      </c>
      <c r="Q188" s="83" t="e">
        <f t="shared" si="111"/>
        <v>#DIV/0!</v>
      </c>
      <c r="R188" s="83" t="e">
        <f t="shared" si="112"/>
        <v>#DIV/0!</v>
      </c>
      <c r="S188" s="10">
        <f t="shared" si="113"/>
        <v>0</v>
      </c>
      <c r="T188" s="10">
        <f t="shared" si="123"/>
        <v>0</v>
      </c>
      <c r="U188" s="10">
        <f t="shared" si="134"/>
        <v>0</v>
      </c>
      <c r="V188" s="10">
        <f t="shared" si="125"/>
        <v>0</v>
      </c>
      <c r="W188" s="11" t="e">
        <f t="shared" si="126"/>
        <v>#DIV/0!</v>
      </c>
      <c r="X188" s="11">
        <f t="shared" si="115"/>
        <v>0</v>
      </c>
      <c r="Y188" s="83">
        <f t="shared" si="127"/>
        <v>0</v>
      </c>
      <c r="Z188" s="10">
        <f t="shared" si="133"/>
        <v>0</v>
      </c>
      <c r="AA188" s="11" t="e">
        <f t="shared" si="129"/>
        <v>#DIV/0!</v>
      </c>
      <c r="AB188" s="11" t="e">
        <f t="shared" si="119"/>
        <v>#DIV/0!</v>
      </c>
      <c r="AC188" s="11" t="e">
        <f t="shared" si="130"/>
        <v>#DIV/0!</v>
      </c>
      <c r="AD188" s="11" t="e">
        <f t="shared" si="131"/>
        <v>#DIV/0!</v>
      </c>
      <c r="AE188" s="20"/>
    </row>
    <row r="189" spans="1:33" x14ac:dyDescent="0.25">
      <c r="H189" s="88">
        <v>22</v>
      </c>
      <c r="I189" s="78">
        <v>0.91666666666666696</v>
      </c>
      <c r="J189" s="79">
        <v>22</v>
      </c>
      <c r="K189" s="6">
        <f>'Step 2 - Facility Data Inputs'!J45</f>
        <v>0</v>
      </c>
      <c r="L189" s="179">
        <f t="shared" si="109"/>
        <v>0</v>
      </c>
      <c r="M189" s="72">
        <f t="shared" si="121"/>
        <v>0</v>
      </c>
      <c r="N189" s="72">
        <f t="shared" si="132"/>
        <v>0</v>
      </c>
      <c r="O189" s="72">
        <f t="shared" si="122"/>
        <v>0</v>
      </c>
      <c r="P189" s="83" t="e">
        <f t="shared" si="110"/>
        <v>#DIV/0!</v>
      </c>
      <c r="Q189" s="83" t="e">
        <f t="shared" si="111"/>
        <v>#DIV/0!</v>
      </c>
      <c r="R189" s="83" t="e">
        <f t="shared" si="112"/>
        <v>#DIV/0!</v>
      </c>
      <c r="S189" s="10">
        <f t="shared" si="113"/>
        <v>0</v>
      </c>
      <c r="T189" s="10">
        <f t="shared" si="123"/>
        <v>0</v>
      </c>
      <c r="U189" s="10">
        <f t="shared" si="134"/>
        <v>0</v>
      </c>
      <c r="V189" s="10">
        <f t="shared" si="125"/>
        <v>0</v>
      </c>
      <c r="W189" s="11" t="e">
        <f t="shared" si="126"/>
        <v>#DIV/0!</v>
      </c>
      <c r="X189" s="11">
        <f t="shared" si="115"/>
        <v>0</v>
      </c>
      <c r="Y189" s="83">
        <f t="shared" si="127"/>
        <v>0</v>
      </c>
      <c r="Z189" s="10">
        <f t="shared" si="133"/>
        <v>0</v>
      </c>
      <c r="AA189" s="11" t="e">
        <f t="shared" si="129"/>
        <v>#DIV/0!</v>
      </c>
      <c r="AB189" s="11" t="e">
        <f t="shared" si="119"/>
        <v>#DIV/0!</v>
      </c>
      <c r="AC189" s="11" t="e">
        <f t="shared" si="130"/>
        <v>#DIV/0!</v>
      </c>
      <c r="AD189" s="11" t="e">
        <f t="shared" si="131"/>
        <v>#DIV/0!</v>
      </c>
      <c r="AE189" s="20"/>
    </row>
    <row r="190" spans="1:33" ht="13.8" thickBot="1" x14ac:dyDescent="0.3">
      <c r="H190" s="89">
        <v>23</v>
      </c>
      <c r="I190" s="78">
        <v>0.95833333333333304</v>
      </c>
      <c r="J190" s="79">
        <v>23</v>
      </c>
      <c r="K190" s="6">
        <f>'Step 2 - Facility Data Inputs'!J46</f>
        <v>0</v>
      </c>
      <c r="L190" s="179">
        <f t="shared" si="109"/>
        <v>0</v>
      </c>
      <c r="M190" s="72">
        <f t="shared" si="121"/>
        <v>0</v>
      </c>
      <c r="N190" s="72">
        <f t="shared" si="132"/>
        <v>0</v>
      </c>
      <c r="O190" s="72">
        <f t="shared" si="122"/>
        <v>0</v>
      </c>
      <c r="P190" s="83" t="e">
        <f t="shared" si="110"/>
        <v>#DIV/0!</v>
      </c>
      <c r="Q190" s="83" t="e">
        <f t="shared" si="111"/>
        <v>#DIV/0!</v>
      </c>
      <c r="R190" s="83" t="e">
        <f t="shared" si="112"/>
        <v>#DIV/0!</v>
      </c>
      <c r="S190" s="10">
        <f t="shared" si="113"/>
        <v>0</v>
      </c>
      <c r="T190" s="13">
        <f t="shared" si="123"/>
        <v>0</v>
      </c>
      <c r="U190" s="10">
        <f t="shared" si="134"/>
        <v>0</v>
      </c>
      <c r="V190" s="13">
        <f t="shared" si="125"/>
        <v>0</v>
      </c>
      <c r="W190" s="11" t="e">
        <f t="shared" si="126"/>
        <v>#DIV/0!</v>
      </c>
      <c r="X190" s="11">
        <f t="shared" si="115"/>
        <v>0</v>
      </c>
      <c r="Y190" s="83">
        <f t="shared" si="127"/>
        <v>0</v>
      </c>
      <c r="Z190" s="13">
        <f t="shared" si="133"/>
        <v>0</v>
      </c>
      <c r="AA190" s="14" t="e">
        <f t="shared" si="129"/>
        <v>#DIV/0!</v>
      </c>
      <c r="AB190" s="11" t="e">
        <f t="shared" si="119"/>
        <v>#DIV/0!</v>
      </c>
      <c r="AC190" s="11" t="e">
        <f>IF((X190-Q190)=0,IF(OR(AB189&lt;&gt;0,AB167&lt;&gt;0),0,NA()),X190)</f>
        <v>#DIV/0!</v>
      </c>
      <c r="AD190" s="11" t="e">
        <f t="shared" si="131"/>
        <v>#DIV/0!</v>
      </c>
      <c r="AE190" s="20"/>
    </row>
    <row r="191" spans="1:33" x14ac:dyDescent="0.25">
      <c r="I191" s="5"/>
      <c r="J191" s="5"/>
      <c r="K191" s="5"/>
      <c r="L191" s="73"/>
      <c r="M191" s="73"/>
      <c r="N191" s="73"/>
      <c r="O191" s="73"/>
      <c r="P191" s="97" t="e">
        <f>MAX(P167:P190)</f>
        <v>#DIV/0!</v>
      </c>
      <c r="Q191" s="97" t="e">
        <f>MAX(Q167:Q190)</f>
        <v>#DIV/0!</v>
      </c>
      <c r="R191" s="97" t="e">
        <f>(SUM(R167:R190))</f>
        <v>#DIV/0!</v>
      </c>
      <c r="S191" s="5"/>
      <c r="T191" s="5"/>
      <c r="U191" s="5"/>
      <c r="V191" s="5"/>
      <c r="W191" s="87" t="e">
        <f>MAX(W167:W190)</f>
        <v>#DIV/0!</v>
      </c>
      <c r="X191" s="97">
        <f>MAX(X167:X190)</f>
        <v>0</v>
      </c>
      <c r="Y191" s="97">
        <f>ROUND(SUM(Y167:Y190),0)</f>
        <v>0</v>
      </c>
      <c r="Z191" s="19">
        <f>SUM(Z167:Z190)</f>
        <v>0</v>
      </c>
      <c r="AA191" s="97" t="e">
        <f>MAX(AA167:AA190)</f>
        <v>#DIV/0!</v>
      </c>
      <c r="AB191" s="97" t="e">
        <f>MAX(AB167:AB190)</f>
        <v>#DIV/0!</v>
      </c>
      <c r="AC191" s="97"/>
      <c r="AD191" s="97" t="e">
        <f>ROUND(SUM(AD167:AD190),0)</f>
        <v>#DIV/0!</v>
      </c>
      <c r="AE191" s="20"/>
    </row>
    <row r="192" spans="1:33" x14ac:dyDescent="0.25">
      <c r="I192" s="5"/>
      <c r="J192" s="5"/>
      <c r="K192" s="5"/>
      <c r="L192" s="73"/>
      <c r="M192" s="73"/>
      <c r="N192" s="73"/>
      <c r="O192" s="73"/>
      <c r="P192" s="73"/>
      <c r="Q192" s="73"/>
      <c r="R192" s="73" t="e">
        <f>IF(R191&lt;100,ROUND(R191,0),IF(R191&lt;1000,ROUND(R191,-1),ROUND(R191,-2)))</f>
        <v>#DIV/0!</v>
      </c>
      <c r="S192" s="5"/>
      <c r="T192" s="5"/>
      <c r="U192" s="5"/>
      <c r="V192" s="5"/>
      <c r="W192" s="5"/>
      <c r="X192" s="5"/>
      <c r="Y192" s="73" t="e">
        <f>AD192+R192</f>
        <v>#DIV/0!</v>
      </c>
      <c r="AD192" s="73" t="e">
        <f>IF(AD191&lt;100,ROUND(AD191,0),IF(AD191&lt;1000,ROUND(AD191,-1),ROUND(AD191,-2)))</f>
        <v>#DIV/0!</v>
      </c>
    </row>
    <row r="193" spans="1:33" ht="13.8" thickBot="1" x14ac:dyDescent="0.3"/>
    <row r="194" spans="1:33" ht="40.200000000000003" x14ac:dyDescent="0.3">
      <c r="A194" s="271" t="str">
        <f>'Step 2 - Facility Data Inputs'!K19</f>
        <v>Saturday</v>
      </c>
      <c r="B194" s="155"/>
      <c r="C194" s="156"/>
      <c r="D194" s="156"/>
      <c r="E194" s="157"/>
      <c r="F194" s="157"/>
      <c r="H194" s="7">
        <f>'Step 2 - Facility Data Inputs'!F165</f>
        <v>0</v>
      </c>
      <c r="I194" s="8" t="s">
        <v>2</v>
      </c>
      <c r="J194" s="8"/>
      <c r="K194" s="8" t="s">
        <v>5</v>
      </c>
      <c r="L194" s="92" t="s">
        <v>875</v>
      </c>
      <c r="M194" s="92" t="s">
        <v>877</v>
      </c>
      <c r="N194" s="92" t="s">
        <v>878</v>
      </c>
      <c r="O194" s="92" t="s">
        <v>879</v>
      </c>
      <c r="P194" s="92" t="s">
        <v>910</v>
      </c>
      <c r="Q194" s="92" t="s">
        <v>880</v>
      </c>
      <c r="R194" s="92" t="s">
        <v>882</v>
      </c>
      <c r="S194" s="93" t="s">
        <v>6</v>
      </c>
      <c r="T194" s="94" t="s">
        <v>9</v>
      </c>
      <c r="U194" s="94" t="s">
        <v>11</v>
      </c>
      <c r="V194" s="94" t="s">
        <v>8</v>
      </c>
      <c r="W194" s="9" t="s">
        <v>7</v>
      </c>
      <c r="X194" s="9" t="s">
        <v>924</v>
      </c>
      <c r="Y194" s="94" t="s">
        <v>883</v>
      </c>
      <c r="Z194" s="95" t="s">
        <v>881</v>
      </c>
      <c r="AA194" s="95" t="s">
        <v>908</v>
      </c>
      <c r="AB194" s="95" t="s">
        <v>909</v>
      </c>
      <c r="AC194" s="96" t="s">
        <v>911</v>
      </c>
      <c r="AD194" s="96" t="s">
        <v>884</v>
      </c>
    </row>
    <row r="195" spans="1:33" ht="13.8" x14ac:dyDescent="0.25">
      <c r="A195" s="272"/>
      <c r="B195" s="122"/>
      <c r="C195" s="164" t="s">
        <v>906</v>
      </c>
      <c r="D195" s="2"/>
      <c r="E195" s="2"/>
      <c r="F195" s="2"/>
      <c r="H195" s="2"/>
      <c r="I195" s="10"/>
      <c r="J195" s="10"/>
      <c r="K195" s="10"/>
      <c r="L195" s="72"/>
      <c r="M195" s="72"/>
      <c r="N195" s="72"/>
      <c r="O195" s="72"/>
      <c r="P195" s="72"/>
      <c r="Q195" s="72"/>
      <c r="R195" s="72"/>
      <c r="S195" s="10"/>
      <c r="T195" s="10"/>
      <c r="U195" s="10"/>
      <c r="V195" s="10"/>
      <c r="W195" s="10"/>
      <c r="X195" s="10"/>
      <c r="Y195" s="10"/>
      <c r="Z195" s="10"/>
      <c r="AA195" s="10"/>
      <c r="AB195" s="10"/>
      <c r="AC195" s="10"/>
      <c r="AD195" s="10"/>
      <c r="AF195" s="4" t="s">
        <v>60</v>
      </c>
      <c r="AG195" s="22">
        <f>G205</f>
        <v>0</v>
      </c>
    </row>
    <row r="196" spans="1:33" ht="92.4" x14ac:dyDescent="0.25">
      <c r="A196" s="272"/>
      <c r="B196" s="122"/>
      <c r="C196" s="121" t="s">
        <v>912</v>
      </c>
      <c r="D196" s="194">
        <f>'Step 3 - WZ Analysis'!D139</f>
        <v>1900</v>
      </c>
      <c r="E196" s="176" t="s">
        <v>919</v>
      </c>
      <c r="F196" s="167">
        <f>D196*$I$10</f>
        <v>0</v>
      </c>
      <c r="H196" s="88">
        <v>0</v>
      </c>
      <c r="I196" s="78">
        <v>0</v>
      </c>
      <c r="J196" s="79">
        <v>0</v>
      </c>
      <c r="K196" s="6">
        <f>'Step 2 - Facility Data Inputs'!K23</f>
        <v>0</v>
      </c>
      <c r="L196" s="179">
        <f>$F$196</f>
        <v>0</v>
      </c>
      <c r="M196" s="72">
        <f>K196</f>
        <v>0</v>
      </c>
      <c r="N196" s="179">
        <f>MIN(K196,L196)</f>
        <v>0</v>
      </c>
      <c r="O196" s="72">
        <f>M196-K196</f>
        <v>0</v>
      </c>
      <c r="P196" s="83" t="e">
        <f>O196*$I$12/(5280*$I$10)</f>
        <v>#DIV/0!</v>
      </c>
      <c r="Q196" s="83" t="e">
        <f>60*O196/L196</f>
        <v>#DIV/0!</v>
      </c>
      <c r="R196" s="83" t="e">
        <f>((O196*Q196)*$I$11*$J$16/(60))+((O196*Q196)*(1-$I$11)*$J$17/(60))</f>
        <v>#DIV/0!</v>
      </c>
      <c r="S196" s="10">
        <f>IF($AG$199-H197&gt;=0,IF($G$204="",$F$203,$G$204),IF(AND(H196&gt;=$AG$195,H196&lt;$AG$195+$AG$196),IF($G$204="",$F$203,$G$204),$F$196))</f>
        <v>0</v>
      </c>
      <c r="T196" s="10">
        <f>K196</f>
        <v>0</v>
      </c>
      <c r="U196" s="10">
        <f>MIN(K196,S196)</f>
        <v>0</v>
      </c>
      <c r="V196" s="10">
        <f>T196-K196</f>
        <v>0</v>
      </c>
      <c r="W196" s="11" t="e">
        <f>V196*$I$12/(5280*$I$10)</f>
        <v>#DIV/0!</v>
      </c>
      <c r="X196" s="11">
        <f>IF(S196=0,60*V196,60*V196/S196)</f>
        <v>0</v>
      </c>
      <c r="Y196" s="83">
        <f>((V196*X196)*$I$11*$J$16/(60))+((V196*X196)*(1-$I$11)*$J$17/(60))</f>
        <v>0</v>
      </c>
      <c r="Z196" s="10">
        <f>V196-O196</f>
        <v>0</v>
      </c>
      <c r="AA196" s="11" t="e">
        <f>W196-P196</f>
        <v>#DIV/0!</v>
      </c>
      <c r="AB196" s="11" t="e">
        <f>X196-Q196</f>
        <v>#DIV/0!</v>
      </c>
      <c r="AC196" s="11" t="e">
        <f>IF((X196-Q196)=0,IF(OR(AB219&lt;&gt;0,AB197&lt;&gt;0),0,NA()),X196)</f>
        <v>#DIV/0!</v>
      </c>
      <c r="AD196" s="11" t="e">
        <f>Y196-R196</f>
        <v>#DIV/0!</v>
      </c>
      <c r="AE196" s="20"/>
      <c r="AF196" s="4" t="s">
        <v>61</v>
      </c>
      <c r="AG196" s="21">
        <f>D207</f>
        <v>0</v>
      </c>
    </row>
    <row r="197" spans="1:33" x14ac:dyDescent="0.25">
      <c r="A197" s="272"/>
      <c r="B197" s="122"/>
      <c r="C197" s="2"/>
      <c r="D197" s="125"/>
      <c r="E197" s="2"/>
      <c r="F197" s="2"/>
      <c r="H197" s="88">
        <v>1</v>
      </c>
      <c r="I197" s="78">
        <v>4.1666666666666699E-2</v>
      </c>
      <c r="J197" s="79">
        <v>1</v>
      </c>
      <c r="K197" s="6">
        <f>'Step 2 - Facility Data Inputs'!K24</f>
        <v>0</v>
      </c>
      <c r="L197" s="179">
        <f t="shared" ref="L197:L219" si="135">$F$196</f>
        <v>0</v>
      </c>
      <c r="M197" s="72">
        <f>M196+K197</f>
        <v>0</v>
      </c>
      <c r="N197" s="72">
        <f>IF((K197&lt;M197),IF((L197-K197)&gt;O196,O196+K197+N196,L197+N196),(L197+N196))</f>
        <v>0</v>
      </c>
      <c r="O197" s="72">
        <f>IF((K197&lt;L197),IF((L197-K197)&gt;O196,0,O196-(L197-K197)),(O196+(K197-L197)))</f>
        <v>0</v>
      </c>
      <c r="P197" s="83" t="e">
        <f t="shared" ref="P197:P219" si="136">O197*$I$12/(5280*$I$10)</f>
        <v>#DIV/0!</v>
      </c>
      <c r="Q197" s="83" t="e">
        <f t="shared" ref="Q197:Q219" si="137">60*O197/L197</f>
        <v>#DIV/0!</v>
      </c>
      <c r="R197" s="83" t="e">
        <f t="shared" ref="R197:R219" si="138">((O197*Q197)*$I$11*$J$16/(60))+((O197*Q197)*(1-$I$11)*$J$17/(60))</f>
        <v>#DIV/0!</v>
      </c>
      <c r="S197" s="10">
        <f t="shared" ref="S197:S219" si="139">IF($AG$199-H198&gt;=0,IF($G$204="",$F$203,$G$204),IF(AND(H197&gt;=$AG$195,H197&lt;$AG$195+$AG$196),IF($G$204="",$F$203,$G$204),$F$196))</f>
        <v>0</v>
      </c>
      <c r="T197" s="10">
        <f>T196+K197</f>
        <v>0</v>
      </c>
      <c r="U197" s="10">
        <f>IF((K197&lt;S197),IF((S197-K197)&gt;V196,V196+K197+U196,S197+U196),(S197+U196))</f>
        <v>0</v>
      </c>
      <c r="V197" s="10">
        <f>IF((K197&lt;S197),IF((S197-K197)&gt;V196,0,V196-(S197-K197)),(V196+(K197-S197)))</f>
        <v>0</v>
      </c>
      <c r="W197" s="11" t="e">
        <f t="shared" ref="W197" si="140">V197*$I$12/(5280*$I$10)</f>
        <v>#DIV/0!</v>
      </c>
      <c r="X197" s="11">
        <f t="shared" ref="X197:X219" si="141">IF(S197=0,60*V197,60*V197/S197)</f>
        <v>0</v>
      </c>
      <c r="Y197" s="83">
        <f t="shared" ref="Y197" si="142">((V197*X197)*$I$11*$J$16/(60))+((V197*X197)*(1-$I$11)*$J$17/(60))</f>
        <v>0</v>
      </c>
      <c r="Z197" s="10">
        <f t="shared" ref="Z197" si="143">V197-O197</f>
        <v>0</v>
      </c>
      <c r="AA197" s="11" t="e">
        <f t="shared" ref="AA197" si="144">W197-P197</f>
        <v>#DIV/0!</v>
      </c>
      <c r="AB197" s="11" t="e">
        <f t="shared" ref="AB197:AB219" si="145">X197-Q197</f>
        <v>#DIV/0!</v>
      </c>
      <c r="AC197" s="11" t="e">
        <f>IF((X197-Q197)=0,IF(OR(AB196&lt;&gt;0,AB198&lt;&gt;0),0,NA()),X197)</f>
        <v>#DIV/0!</v>
      </c>
      <c r="AD197" s="11" t="e">
        <f t="shared" ref="AD197" si="146">Y197-R197</f>
        <v>#DIV/0!</v>
      </c>
      <c r="AE197" s="20"/>
      <c r="AF197" s="90"/>
      <c r="AG197" s="74"/>
    </row>
    <row r="198" spans="1:33" ht="13.8" x14ac:dyDescent="0.25">
      <c r="A198" s="272"/>
      <c r="B198" s="122"/>
      <c r="C198" s="165" t="s">
        <v>841</v>
      </c>
      <c r="D198" s="125"/>
      <c r="E198" s="2"/>
      <c r="F198" s="2"/>
      <c r="H198" s="88">
        <v>2</v>
      </c>
      <c r="I198" s="78">
        <v>8.3333333333333301E-2</v>
      </c>
      <c r="J198" s="79">
        <v>2</v>
      </c>
      <c r="K198" s="6">
        <f>'Step 2 - Facility Data Inputs'!K25</f>
        <v>0</v>
      </c>
      <c r="L198" s="179">
        <f t="shared" si="135"/>
        <v>0</v>
      </c>
      <c r="M198" s="72">
        <f t="shared" ref="M198:M219" si="147">M197+K198</f>
        <v>0</v>
      </c>
      <c r="N198" s="72">
        <f>IF((K198&lt;M198),IF((L198-K198)&gt;O197,O197+K198+N197,L198+N197),(L198+N197))</f>
        <v>0</v>
      </c>
      <c r="O198" s="72">
        <f t="shared" ref="O198:O219" si="148">IF((K198&lt;L198),IF((L198-K198)&gt;O197,0,O197-(L198-K198)),(O197+(K198-L198)))</f>
        <v>0</v>
      </c>
      <c r="P198" s="83" t="e">
        <f t="shared" si="136"/>
        <v>#DIV/0!</v>
      </c>
      <c r="Q198" s="83" t="e">
        <f t="shared" si="137"/>
        <v>#DIV/0!</v>
      </c>
      <c r="R198" s="83" t="e">
        <f t="shared" si="138"/>
        <v>#DIV/0!</v>
      </c>
      <c r="S198" s="10">
        <f t="shared" si="139"/>
        <v>0</v>
      </c>
      <c r="T198" s="10">
        <f t="shared" ref="T198:T219" si="149">T197+K198</f>
        <v>0</v>
      </c>
      <c r="U198" s="10">
        <f t="shared" ref="U198:U214" si="150">IF((K198&lt;S198),IF((S198-K198)&gt;V197,V197+K198+U197,S198+U197),(S198+U197))</f>
        <v>0</v>
      </c>
      <c r="V198" s="10">
        <f t="shared" ref="V198:V219" si="151">IF((K198&lt;S198),IF((S198-K198)&gt;V197,0,V197-(S198-K198)),(V197+(K198-S198)))</f>
        <v>0</v>
      </c>
      <c r="W198" s="11" t="e">
        <f>V198*$I$12/(5280*$I$10)</f>
        <v>#DIV/0!</v>
      </c>
      <c r="X198" s="11">
        <f t="shared" si="141"/>
        <v>0</v>
      </c>
      <c r="Y198" s="83">
        <f>((V198*X198)*$I$11*$J$16/(60))+((V198*X198)*(1-$I$11)*$J$17/(60))</f>
        <v>0</v>
      </c>
      <c r="Z198" s="10">
        <f>V198-O198</f>
        <v>0</v>
      </c>
      <c r="AA198" s="11" t="e">
        <f>W198-P198</f>
        <v>#DIV/0!</v>
      </c>
      <c r="AB198" s="11" t="e">
        <f t="shared" si="145"/>
        <v>#DIV/0!</v>
      </c>
      <c r="AC198" s="11" t="e">
        <f>IF((X198-Q198)=0,IF(OR(AB197&lt;&gt;0,AB199&lt;&gt;0),0,NA()),X198)</f>
        <v>#DIV/0!</v>
      </c>
      <c r="AD198" s="11" t="e">
        <f>Y198-R198</f>
        <v>#DIV/0!</v>
      </c>
      <c r="AE198" s="20"/>
      <c r="AF198" s="90" t="s">
        <v>18</v>
      </c>
      <c r="AG198" s="74">
        <f>COUNT(H196:H219)</f>
        <v>24</v>
      </c>
    </row>
    <row r="199" spans="1:33" x14ac:dyDescent="0.25">
      <c r="A199" s="272"/>
      <c r="B199" s="122"/>
      <c r="C199" s="120" t="s">
        <v>920</v>
      </c>
      <c r="D199" s="262" t="str">
        <f>'Step 3 - WZ Analysis'!D142:F142</f>
        <v>(Example: Pothole Patching - Close One Lane OR Joint Repair - Two Lanes Closed)</v>
      </c>
      <c r="E199" s="262"/>
      <c r="F199" s="262"/>
      <c r="H199" s="88">
        <v>3</v>
      </c>
      <c r="I199" s="78">
        <v>0.125</v>
      </c>
      <c r="J199" s="79">
        <v>3</v>
      </c>
      <c r="K199" s="6">
        <f>'Step 2 - Facility Data Inputs'!K26</f>
        <v>0</v>
      </c>
      <c r="L199" s="179">
        <f t="shared" si="135"/>
        <v>0</v>
      </c>
      <c r="M199" s="72">
        <f t="shared" si="147"/>
        <v>0</v>
      </c>
      <c r="N199" s="72">
        <f>IF((K199&lt;M199),IF((L199-K199)&gt;O198,O198+K199+N198,L199+N198),(L199+N198))</f>
        <v>0</v>
      </c>
      <c r="O199" s="72">
        <f t="shared" si="148"/>
        <v>0</v>
      </c>
      <c r="P199" s="83" t="e">
        <f t="shared" si="136"/>
        <v>#DIV/0!</v>
      </c>
      <c r="Q199" s="83" t="e">
        <f t="shared" si="137"/>
        <v>#DIV/0!</v>
      </c>
      <c r="R199" s="83" t="e">
        <f t="shared" si="138"/>
        <v>#DIV/0!</v>
      </c>
      <c r="S199" s="10">
        <f t="shared" si="139"/>
        <v>0</v>
      </c>
      <c r="T199" s="10">
        <f t="shared" si="149"/>
        <v>0</v>
      </c>
      <c r="U199" s="10">
        <f t="shared" si="150"/>
        <v>0</v>
      </c>
      <c r="V199" s="10">
        <f t="shared" si="151"/>
        <v>0</v>
      </c>
      <c r="W199" s="11" t="e">
        <f t="shared" ref="W199:W219" si="152">V199*$I$12/(5280*$I$10)</f>
        <v>#DIV/0!</v>
      </c>
      <c r="X199" s="11">
        <f>IF(S199=0,60*V199,60*V199/S199)</f>
        <v>0</v>
      </c>
      <c r="Y199" s="83">
        <f t="shared" ref="Y199:Y219" si="153">((V199*X199)*$I$11*$J$16/(60))+((V199*X199)*(1-$I$11)*$J$17/(60))</f>
        <v>0</v>
      </c>
      <c r="Z199" s="10">
        <f t="shared" ref="Z199:Z201" si="154">V199-O199</f>
        <v>0</v>
      </c>
      <c r="AA199" s="11" t="e">
        <f t="shared" ref="AA199:AA219" si="155">W199-P199</f>
        <v>#DIV/0!</v>
      </c>
      <c r="AB199" s="11" t="e">
        <f t="shared" si="145"/>
        <v>#DIV/0!</v>
      </c>
      <c r="AC199" s="11" t="e">
        <f t="shared" ref="AC199:AC218" si="156">IF((X199-Q199)=0,IF(OR(AB198&lt;&gt;0,AB200&lt;&gt;0),0,NA()),X199)</f>
        <v>#DIV/0!</v>
      </c>
      <c r="AD199" s="11" t="e">
        <f t="shared" ref="AD199:AD219" si="157">Y199-R199</f>
        <v>#DIV/0!</v>
      </c>
      <c r="AE199" s="20"/>
      <c r="AF199" s="90" t="s">
        <v>19</v>
      </c>
      <c r="AG199" s="180">
        <f>AG195+AG196-AG198</f>
        <v>-24</v>
      </c>
    </row>
    <row r="200" spans="1:33" x14ac:dyDescent="0.25">
      <c r="A200" s="272"/>
      <c r="B200" s="122"/>
      <c r="C200" s="120" t="s">
        <v>913</v>
      </c>
      <c r="D200" s="262" t="str">
        <f>'Step 3 - WZ Analysis'!D143:F143</f>
        <v>No Work Zone (Use for Calibrating Existing Conditions)</v>
      </c>
      <c r="E200" s="262"/>
      <c r="F200" s="262"/>
      <c r="G200">
        <f>VLOOKUP(D200,'Reference Sheet'!$S$2:$T$8,2)</f>
        <v>538</v>
      </c>
      <c r="H200" s="88">
        <v>4</v>
      </c>
      <c r="I200" s="78">
        <v>0.16666666666666699</v>
      </c>
      <c r="J200" s="79">
        <v>4</v>
      </c>
      <c r="K200" s="6">
        <f>'Step 2 - Facility Data Inputs'!K27</f>
        <v>0</v>
      </c>
      <c r="L200" s="179">
        <f t="shared" si="135"/>
        <v>0</v>
      </c>
      <c r="M200" s="72">
        <f t="shared" si="147"/>
        <v>0</v>
      </c>
      <c r="N200" s="72">
        <f t="shared" ref="N200:N219" si="158">IF((K200&lt;M200),IF((L200-K200)&gt;O199,O199+K200+N199,L200+N199),(L200+N199))</f>
        <v>0</v>
      </c>
      <c r="O200" s="72">
        <f t="shared" si="148"/>
        <v>0</v>
      </c>
      <c r="P200" s="83" t="e">
        <f t="shared" si="136"/>
        <v>#DIV/0!</v>
      </c>
      <c r="Q200" s="83" t="e">
        <f t="shared" si="137"/>
        <v>#DIV/0!</v>
      </c>
      <c r="R200" s="83" t="e">
        <f t="shared" si="138"/>
        <v>#DIV/0!</v>
      </c>
      <c r="S200" s="10">
        <f t="shared" si="139"/>
        <v>0</v>
      </c>
      <c r="T200" s="10">
        <f t="shared" si="149"/>
        <v>0</v>
      </c>
      <c r="U200" s="10">
        <f t="shared" si="150"/>
        <v>0</v>
      </c>
      <c r="V200" s="10">
        <f t="shared" si="151"/>
        <v>0</v>
      </c>
      <c r="W200" s="11" t="e">
        <f t="shared" si="152"/>
        <v>#DIV/0!</v>
      </c>
      <c r="X200" s="11">
        <f t="shared" si="141"/>
        <v>0</v>
      </c>
      <c r="Y200" s="83">
        <f t="shared" si="153"/>
        <v>0</v>
      </c>
      <c r="Z200" s="10">
        <f t="shared" si="154"/>
        <v>0</v>
      </c>
      <c r="AA200" s="11" t="e">
        <f t="shared" si="155"/>
        <v>#DIV/0!</v>
      </c>
      <c r="AB200" s="11" t="e">
        <f t="shared" si="145"/>
        <v>#DIV/0!</v>
      </c>
      <c r="AC200" s="11" t="e">
        <f t="shared" si="156"/>
        <v>#DIV/0!</v>
      </c>
      <c r="AD200" s="11" t="e">
        <f t="shared" si="157"/>
        <v>#DIV/0!</v>
      </c>
      <c r="AE200" s="20"/>
    </row>
    <row r="201" spans="1:33" x14ac:dyDescent="0.25">
      <c r="A201" s="272"/>
      <c r="B201" s="122"/>
      <c r="C201" s="120" t="s">
        <v>914</v>
      </c>
      <c r="D201" s="262" t="str">
        <f>'Step 3 - WZ Analysis'!D144:F144</f>
        <v>&gt; 11.5</v>
      </c>
      <c r="E201" s="262"/>
      <c r="F201" s="262"/>
      <c r="G201">
        <f>VLOOKUP(D201,'Reference Sheet'!$V$2:$W$4,2)</f>
        <v>1</v>
      </c>
      <c r="H201" s="88">
        <v>5</v>
      </c>
      <c r="I201" s="78">
        <v>0.20833333333333301</v>
      </c>
      <c r="J201" s="79">
        <v>5</v>
      </c>
      <c r="K201" s="6">
        <f>'Step 2 - Facility Data Inputs'!K28</f>
        <v>0</v>
      </c>
      <c r="L201" s="179">
        <f t="shared" si="135"/>
        <v>0</v>
      </c>
      <c r="M201" s="72">
        <f t="shared" si="147"/>
        <v>0</v>
      </c>
      <c r="N201" s="72">
        <f t="shared" si="158"/>
        <v>0</v>
      </c>
      <c r="O201" s="72">
        <f t="shared" si="148"/>
        <v>0</v>
      </c>
      <c r="P201" s="83" t="e">
        <f t="shared" si="136"/>
        <v>#DIV/0!</v>
      </c>
      <c r="Q201" s="83" t="e">
        <f t="shared" si="137"/>
        <v>#DIV/0!</v>
      </c>
      <c r="R201" s="83" t="e">
        <f t="shared" si="138"/>
        <v>#DIV/0!</v>
      </c>
      <c r="S201" s="10">
        <f t="shared" si="139"/>
        <v>0</v>
      </c>
      <c r="T201" s="10">
        <f t="shared" si="149"/>
        <v>0</v>
      </c>
      <c r="U201" s="10">
        <f t="shared" si="150"/>
        <v>0</v>
      </c>
      <c r="V201" s="10">
        <f t="shared" si="151"/>
        <v>0</v>
      </c>
      <c r="W201" s="11" t="e">
        <f t="shared" si="152"/>
        <v>#DIV/0!</v>
      </c>
      <c r="X201" s="11">
        <f t="shared" si="141"/>
        <v>0</v>
      </c>
      <c r="Y201" s="83">
        <f t="shared" si="153"/>
        <v>0</v>
      </c>
      <c r="Z201" s="10">
        <f t="shared" si="154"/>
        <v>0</v>
      </c>
      <c r="AA201" s="11" t="e">
        <f t="shared" si="155"/>
        <v>#DIV/0!</v>
      </c>
      <c r="AB201" s="11" t="e">
        <f t="shared" si="145"/>
        <v>#DIV/0!</v>
      </c>
      <c r="AC201" s="11" t="e">
        <f t="shared" si="156"/>
        <v>#DIV/0!</v>
      </c>
      <c r="AD201" s="11" t="e">
        <f t="shared" si="157"/>
        <v>#DIV/0!</v>
      </c>
      <c r="AE201" s="20"/>
    </row>
    <row r="202" spans="1:33" x14ac:dyDescent="0.25">
      <c r="A202" s="272"/>
      <c r="B202" s="122"/>
      <c r="C202" s="120" t="s">
        <v>915</v>
      </c>
      <c r="D202" s="262">
        <f>'Step 3 - WZ Analysis'!D145:F145</f>
        <v>0</v>
      </c>
      <c r="E202" s="262"/>
      <c r="F202" s="262"/>
      <c r="H202" s="88">
        <v>6</v>
      </c>
      <c r="I202" s="78">
        <v>0.25</v>
      </c>
      <c r="J202" s="79">
        <v>6</v>
      </c>
      <c r="K202" s="6">
        <f>'Step 2 - Facility Data Inputs'!K29</f>
        <v>0</v>
      </c>
      <c r="L202" s="179">
        <f t="shared" si="135"/>
        <v>0</v>
      </c>
      <c r="M202" s="72">
        <f t="shared" si="147"/>
        <v>0</v>
      </c>
      <c r="N202" s="72">
        <f t="shared" si="158"/>
        <v>0</v>
      </c>
      <c r="O202" s="72">
        <f t="shared" si="148"/>
        <v>0</v>
      </c>
      <c r="P202" s="83" t="e">
        <f t="shared" si="136"/>
        <v>#DIV/0!</v>
      </c>
      <c r="Q202" s="83" t="e">
        <f t="shared" si="137"/>
        <v>#DIV/0!</v>
      </c>
      <c r="R202" s="83" t="e">
        <f t="shared" si="138"/>
        <v>#DIV/0!</v>
      </c>
      <c r="S202" s="10">
        <f t="shared" si="139"/>
        <v>0</v>
      </c>
      <c r="T202" s="10">
        <f t="shared" si="149"/>
        <v>0</v>
      </c>
      <c r="U202" s="10">
        <f t="shared" si="150"/>
        <v>0</v>
      </c>
      <c r="V202" s="10">
        <f t="shared" si="151"/>
        <v>0</v>
      </c>
      <c r="W202" s="11" t="e">
        <f t="shared" si="152"/>
        <v>#DIV/0!</v>
      </c>
      <c r="X202" s="11">
        <f t="shared" si="141"/>
        <v>0</v>
      </c>
      <c r="Y202" s="83">
        <f t="shared" si="153"/>
        <v>0</v>
      </c>
      <c r="Z202" s="10">
        <f>V202-O202</f>
        <v>0</v>
      </c>
      <c r="AA202" s="11" t="e">
        <f t="shared" si="155"/>
        <v>#DIV/0!</v>
      </c>
      <c r="AB202" s="11" t="e">
        <f t="shared" si="145"/>
        <v>#DIV/0!</v>
      </c>
      <c r="AC202" s="11" t="e">
        <f t="shared" si="156"/>
        <v>#DIV/0!</v>
      </c>
      <c r="AD202" s="11" t="e">
        <f t="shared" si="157"/>
        <v>#DIV/0!</v>
      </c>
      <c r="AE202" s="20"/>
      <c r="AF202" s="4" t="s">
        <v>57</v>
      </c>
      <c r="AG202" s="3">
        <f>MAX(X196:X219)</f>
        <v>0</v>
      </c>
    </row>
    <row r="203" spans="1:33" ht="66" x14ac:dyDescent="0.25">
      <c r="A203" s="272"/>
      <c r="B203" s="122"/>
      <c r="C203" s="121" t="s">
        <v>917</v>
      </c>
      <c r="D203" s="178">
        <f>IF(G200=538,D196,IF(VLOOKUP((G200+G201),'HCM 2010 Program'!$C$3:$H$20,6)&gt;(D196),D196,VLOOKUP((G200+G201),'HCM 2010 Program'!$C$3:$H$20,6)))</f>
        <v>1900</v>
      </c>
      <c r="E203" s="55" t="s">
        <v>922</v>
      </c>
      <c r="F203" s="168">
        <f>MIN((D203*D202),F196)</f>
        <v>0</v>
      </c>
      <c r="G203" s="55" t="s">
        <v>925</v>
      </c>
      <c r="H203" s="88">
        <v>7</v>
      </c>
      <c r="I203" s="78">
        <v>0.29166666666666702</v>
      </c>
      <c r="J203" s="79">
        <v>7</v>
      </c>
      <c r="K203" s="6">
        <f>'Step 2 - Facility Data Inputs'!K30</f>
        <v>0</v>
      </c>
      <c r="L203" s="179">
        <f t="shared" si="135"/>
        <v>0</v>
      </c>
      <c r="M203" s="72">
        <f t="shared" si="147"/>
        <v>0</v>
      </c>
      <c r="N203" s="72">
        <f t="shared" si="158"/>
        <v>0</v>
      </c>
      <c r="O203" s="72">
        <f t="shared" si="148"/>
        <v>0</v>
      </c>
      <c r="P203" s="83" t="e">
        <f t="shared" si="136"/>
        <v>#DIV/0!</v>
      </c>
      <c r="Q203" s="83" t="e">
        <f t="shared" si="137"/>
        <v>#DIV/0!</v>
      </c>
      <c r="R203" s="83" t="e">
        <f t="shared" si="138"/>
        <v>#DIV/0!</v>
      </c>
      <c r="S203" s="10">
        <f t="shared" si="139"/>
        <v>0</v>
      </c>
      <c r="T203" s="10">
        <f t="shared" si="149"/>
        <v>0</v>
      </c>
      <c r="U203" s="10">
        <f t="shared" si="150"/>
        <v>0</v>
      </c>
      <c r="V203" s="10">
        <f t="shared" si="151"/>
        <v>0</v>
      </c>
      <c r="W203" s="11" t="e">
        <f t="shared" si="152"/>
        <v>#DIV/0!</v>
      </c>
      <c r="X203" s="11">
        <f t="shared" si="141"/>
        <v>0</v>
      </c>
      <c r="Y203" s="83">
        <f t="shared" si="153"/>
        <v>0</v>
      </c>
      <c r="Z203" s="10">
        <f t="shared" ref="Z203:Z219" si="159">V203-O203</f>
        <v>0</v>
      </c>
      <c r="AA203" s="11" t="e">
        <f t="shared" si="155"/>
        <v>#DIV/0!</v>
      </c>
      <c r="AB203" s="11" t="e">
        <f t="shared" si="145"/>
        <v>#DIV/0!</v>
      </c>
      <c r="AC203" s="11" t="e">
        <f t="shared" si="156"/>
        <v>#DIV/0!</v>
      </c>
      <c r="AD203" s="11" t="e">
        <f t="shared" si="157"/>
        <v>#DIV/0!</v>
      </c>
      <c r="AE203" s="20"/>
    </row>
    <row r="204" spans="1:33" ht="79.2" x14ac:dyDescent="0.25">
      <c r="A204" s="272"/>
      <c r="B204" s="122"/>
      <c r="C204" s="121" t="s">
        <v>916</v>
      </c>
      <c r="D204" s="124"/>
      <c r="E204" s="195">
        <f>'Step 3 - WZ Analysis'!E147</f>
        <v>0</v>
      </c>
      <c r="F204" s="123"/>
      <c r="G204" s="74" t="str">
        <f>IF('Step 3 - WZ Analysis'!E147="","",'Step 3 - WZ Analysis'!E147)</f>
        <v/>
      </c>
      <c r="H204" s="88">
        <v>8</v>
      </c>
      <c r="I204" s="78">
        <v>0.33333333333333298</v>
      </c>
      <c r="J204" s="79">
        <v>8</v>
      </c>
      <c r="K204" s="6">
        <f>'Step 2 - Facility Data Inputs'!K31</f>
        <v>0</v>
      </c>
      <c r="L204" s="179">
        <f t="shared" si="135"/>
        <v>0</v>
      </c>
      <c r="M204" s="72">
        <f t="shared" si="147"/>
        <v>0</v>
      </c>
      <c r="N204" s="72">
        <f t="shared" si="158"/>
        <v>0</v>
      </c>
      <c r="O204" s="72">
        <f t="shared" si="148"/>
        <v>0</v>
      </c>
      <c r="P204" s="83" t="e">
        <f t="shared" si="136"/>
        <v>#DIV/0!</v>
      </c>
      <c r="Q204" s="83" t="e">
        <f t="shared" si="137"/>
        <v>#DIV/0!</v>
      </c>
      <c r="R204" s="83" t="e">
        <f t="shared" si="138"/>
        <v>#DIV/0!</v>
      </c>
      <c r="S204" s="10">
        <f t="shared" si="139"/>
        <v>0</v>
      </c>
      <c r="T204" s="10">
        <f t="shared" si="149"/>
        <v>0</v>
      </c>
      <c r="U204" s="10">
        <f t="shared" si="150"/>
        <v>0</v>
      </c>
      <c r="V204" s="10">
        <f t="shared" si="151"/>
        <v>0</v>
      </c>
      <c r="W204" s="11" t="e">
        <f t="shared" si="152"/>
        <v>#DIV/0!</v>
      </c>
      <c r="X204" s="11">
        <f t="shared" si="141"/>
        <v>0</v>
      </c>
      <c r="Y204" s="83">
        <f t="shared" si="153"/>
        <v>0</v>
      </c>
      <c r="Z204" s="10">
        <f t="shared" si="159"/>
        <v>0</v>
      </c>
      <c r="AA204" s="11" t="e">
        <f t="shared" si="155"/>
        <v>#DIV/0!</v>
      </c>
      <c r="AB204" s="11" t="e">
        <f t="shared" si="145"/>
        <v>#DIV/0!</v>
      </c>
      <c r="AC204" s="11" t="e">
        <f t="shared" si="156"/>
        <v>#DIV/0!</v>
      </c>
      <c r="AD204" s="11" t="e">
        <f t="shared" si="157"/>
        <v>#DIV/0!</v>
      </c>
      <c r="AE204" s="20"/>
      <c r="AF204" s="4" t="s">
        <v>58</v>
      </c>
      <c r="AG204" s="3" t="e">
        <f>(SUM(V196:V219)/T219)*60</f>
        <v>#DIV/0!</v>
      </c>
    </row>
    <row r="205" spans="1:33" x14ac:dyDescent="0.25">
      <c r="A205" s="272"/>
      <c r="B205" s="122"/>
      <c r="C205" s="114" t="s">
        <v>900</v>
      </c>
      <c r="D205" s="276">
        <f>'Step 3 - WZ Analysis'!D148:F148</f>
        <v>0</v>
      </c>
      <c r="E205" s="276"/>
      <c r="F205" s="276"/>
      <c r="G205" s="173">
        <f>VLOOKUP(D205,'WZ Analysis (Worksheet)'!$I$22:$J$45,2)</f>
        <v>0</v>
      </c>
      <c r="H205" s="88">
        <v>9</v>
      </c>
      <c r="I205" s="78">
        <v>0.375</v>
      </c>
      <c r="J205" s="79">
        <v>9</v>
      </c>
      <c r="K205" s="6">
        <f>'Step 2 - Facility Data Inputs'!K32</f>
        <v>0</v>
      </c>
      <c r="L205" s="179">
        <f t="shared" si="135"/>
        <v>0</v>
      </c>
      <c r="M205" s="72">
        <f t="shared" si="147"/>
        <v>0</v>
      </c>
      <c r="N205" s="72">
        <f t="shared" si="158"/>
        <v>0</v>
      </c>
      <c r="O205" s="72">
        <f t="shared" si="148"/>
        <v>0</v>
      </c>
      <c r="P205" s="83" t="e">
        <f t="shared" si="136"/>
        <v>#DIV/0!</v>
      </c>
      <c r="Q205" s="83" t="e">
        <f t="shared" si="137"/>
        <v>#DIV/0!</v>
      </c>
      <c r="R205" s="83" t="e">
        <f t="shared" si="138"/>
        <v>#DIV/0!</v>
      </c>
      <c r="S205" s="10">
        <f t="shared" si="139"/>
        <v>0</v>
      </c>
      <c r="T205" s="10">
        <f t="shared" si="149"/>
        <v>0</v>
      </c>
      <c r="U205" s="10">
        <f t="shared" si="150"/>
        <v>0</v>
      </c>
      <c r="V205" s="10">
        <f t="shared" si="151"/>
        <v>0</v>
      </c>
      <c r="W205" s="11" t="e">
        <f t="shared" si="152"/>
        <v>#DIV/0!</v>
      </c>
      <c r="X205" s="11">
        <f t="shared" si="141"/>
        <v>0</v>
      </c>
      <c r="Y205" s="83">
        <f t="shared" si="153"/>
        <v>0</v>
      </c>
      <c r="Z205" s="10">
        <f t="shared" si="159"/>
        <v>0</v>
      </c>
      <c r="AA205" s="11" t="e">
        <f t="shared" si="155"/>
        <v>#DIV/0!</v>
      </c>
      <c r="AB205" s="11" t="e">
        <f t="shared" si="145"/>
        <v>#DIV/0!</v>
      </c>
      <c r="AC205" s="11" t="e">
        <f t="shared" si="156"/>
        <v>#DIV/0!</v>
      </c>
      <c r="AD205" s="11" t="e">
        <f t="shared" si="157"/>
        <v>#DIV/0!</v>
      </c>
      <c r="AE205" s="20"/>
    </row>
    <row r="206" spans="1:33" x14ac:dyDescent="0.25">
      <c r="A206" s="272"/>
      <c r="B206" s="122"/>
      <c r="C206" s="114" t="s">
        <v>901</v>
      </c>
      <c r="D206" s="276">
        <f>'Step 3 - WZ Analysis'!D149:F149</f>
        <v>0</v>
      </c>
      <c r="E206" s="276"/>
      <c r="F206" s="276"/>
      <c r="G206" s="173">
        <f>VLOOKUP(D206,'WZ Analysis (Worksheet)'!$I$22:$J$45,2)</f>
        <v>0</v>
      </c>
      <c r="H206" s="88">
        <v>10</v>
      </c>
      <c r="I206" s="78">
        <v>0.41666666666666702</v>
      </c>
      <c r="J206" s="79">
        <v>10</v>
      </c>
      <c r="K206" s="6">
        <f>'Step 2 - Facility Data Inputs'!K33</f>
        <v>0</v>
      </c>
      <c r="L206" s="179">
        <f t="shared" si="135"/>
        <v>0</v>
      </c>
      <c r="M206" s="72">
        <f t="shared" si="147"/>
        <v>0</v>
      </c>
      <c r="N206" s="72">
        <f t="shared" si="158"/>
        <v>0</v>
      </c>
      <c r="O206" s="72">
        <f t="shared" si="148"/>
        <v>0</v>
      </c>
      <c r="P206" s="83" t="e">
        <f t="shared" si="136"/>
        <v>#DIV/0!</v>
      </c>
      <c r="Q206" s="83" t="e">
        <f t="shared" si="137"/>
        <v>#DIV/0!</v>
      </c>
      <c r="R206" s="83" t="e">
        <f t="shared" si="138"/>
        <v>#DIV/0!</v>
      </c>
      <c r="S206" s="10">
        <f t="shared" si="139"/>
        <v>0</v>
      </c>
      <c r="T206" s="10">
        <f t="shared" si="149"/>
        <v>0</v>
      </c>
      <c r="U206" s="10">
        <f t="shared" si="150"/>
        <v>0</v>
      </c>
      <c r="V206" s="10">
        <f t="shared" si="151"/>
        <v>0</v>
      </c>
      <c r="W206" s="11" t="e">
        <f t="shared" si="152"/>
        <v>#DIV/0!</v>
      </c>
      <c r="X206" s="11">
        <f t="shared" si="141"/>
        <v>0</v>
      </c>
      <c r="Y206" s="83">
        <f t="shared" si="153"/>
        <v>0</v>
      </c>
      <c r="Z206" s="10">
        <f t="shared" si="159"/>
        <v>0</v>
      </c>
      <c r="AA206" s="11" t="e">
        <f t="shared" si="155"/>
        <v>#DIV/0!</v>
      </c>
      <c r="AB206" s="11" t="e">
        <f t="shared" si="145"/>
        <v>#DIV/0!</v>
      </c>
      <c r="AC206" s="11" t="e">
        <f t="shared" si="156"/>
        <v>#DIV/0!</v>
      </c>
      <c r="AD206" s="11" t="e">
        <f t="shared" si="157"/>
        <v>#DIV/0!</v>
      </c>
      <c r="AE206" s="20"/>
      <c r="AF206" s="4" t="s">
        <v>17</v>
      </c>
      <c r="AG206" s="18">
        <f>Z220</f>
        <v>0</v>
      </c>
    </row>
    <row r="207" spans="1:33" x14ac:dyDescent="0.25">
      <c r="A207" s="272"/>
      <c r="B207" s="122"/>
      <c r="C207" s="114" t="s">
        <v>902</v>
      </c>
      <c r="D207" s="277">
        <f>'Step 3 - WZ Analysis'!D150:F150</f>
        <v>0</v>
      </c>
      <c r="E207" s="278"/>
      <c r="F207" s="279"/>
      <c r="H207" s="88">
        <v>11</v>
      </c>
      <c r="I207" s="78">
        <v>0.45833333333333298</v>
      </c>
      <c r="J207" s="79">
        <v>11</v>
      </c>
      <c r="K207" s="6">
        <f>'Step 2 - Facility Data Inputs'!K34</f>
        <v>0</v>
      </c>
      <c r="L207" s="179">
        <f t="shared" si="135"/>
        <v>0</v>
      </c>
      <c r="M207" s="72">
        <f t="shared" si="147"/>
        <v>0</v>
      </c>
      <c r="N207" s="72">
        <f t="shared" si="158"/>
        <v>0</v>
      </c>
      <c r="O207" s="72">
        <f t="shared" si="148"/>
        <v>0</v>
      </c>
      <c r="P207" s="83" t="e">
        <f t="shared" si="136"/>
        <v>#DIV/0!</v>
      </c>
      <c r="Q207" s="83" t="e">
        <f t="shared" si="137"/>
        <v>#DIV/0!</v>
      </c>
      <c r="R207" s="83" t="e">
        <f t="shared" si="138"/>
        <v>#DIV/0!</v>
      </c>
      <c r="S207" s="10">
        <f t="shared" si="139"/>
        <v>0</v>
      </c>
      <c r="T207" s="10">
        <f t="shared" si="149"/>
        <v>0</v>
      </c>
      <c r="U207" s="10">
        <f t="shared" si="150"/>
        <v>0</v>
      </c>
      <c r="V207" s="10">
        <f t="shared" si="151"/>
        <v>0</v>
      </c>
      <c r="W207" s="11" t="e">
        <f t="shared" si="152"/>
        <v>#DIV/0!</v>
      </c>
      <c r="X207" s="11">
        <f t="shared" si="141"/>
        <v>0</v>
      </c>
      <c r="Y207" s="83">
        <f t="shared" si="153"/>
        <v>0</v>
      </c>
      <c r="Z207" s="10">
        <f t="shared" si="159"/>
        <v>0</v>
      </c>
      <c r="AA207" s="11" t="e">
        <f t="shared" si="155"/>
        <v>#DIV/0!</v>
      </c>
      <c r="AB207" s="11" t="e">
        <f t="shared" si="145"/>
        <v>#DIV/0!</v>
      </c>
      <c r="AC207" s="11" t="e">
        <f t="shared" si="156"/>
        <v>#DIV/0!</v>
      </c>
      <c r="AD207" s="11" t="e">
        <f t="shared" si="157"/>
        <v>#DIV/0!</v>
      </c>
      <c r="AE207" s="20"/>
    </row>
    <row r="208" spans="1:33" x14ac:dyDescent="0.25">
      <c r="A208" s="272"/>
      <c r="B208" s="122"/>
      <c r="C208" s="117"/>
      <c r="D208" s="2"/>
      <c r="E208" s="2"/>
      <c r="F208" s="38"/>
      <c r="H208" s="88">
        <v>12</v>
      </c>
      <c r="I208" s="78">
        <v>0.5</v>
      </c>
      <c r="J208" s="79">
        <v>12</v>
      </c>
      <c r="K208" s="6">
        <f>'Step 2 - Facility Data Inputs'!K35</f>
        <v>0</v>
      </c>
      <c r="L208" s="179">
        <f t="shared" si="135"/>
        <v>0</v>
      </c>
      <c r="M208" s="72">
        <f t="shared" si="147"/>
        <v>0</v>
      </c>
      <c r="N208" s="72">
        <f t="shared" si="158"/>
        <v>0</v>
      </c>
      <c r="O208" s="72">
        <f t="shared" si="148"/>
        <v>0</v>
      </c>
      <c r="P208" s="83" t="e">
        <f t="shared" si="136"/>
        <v>#DIV/0!</v>
      </c>
      <c r="Q208" s="83" t="e">
        <f t="shared" si="137"/>
        <v>#DIV/0!</v>
      </c>
      <c r="R208" s="83" t="e">
        <f t="shared" si="138"/>
        <v>#DIV/0!</v>
      </c>
      <c r="S208" s="10">
        <f t="shared" si="139"/>
        <v>0</v>
      </c>
      <c r="T208" s="10">
        <f t="shared" si="149"/>
        <v>0</v>
      </c>
      <c r="U208" s="10">
        <f t="shared" si="150"/>
        <v>0</v>
      </c>
      <c r="V208" s="10">
        <f t="shared" si="151"/>
        <v>0</v>
      </c>
      <c r="W208" s="11" t="e">
        <f t="shared" si="152"/>
        <v>#DIV/0!</v>
      </c>
      <c r="X208" s="11">
        <f t="shared" si="141"/>
        <v>0</v>
      </c>
      <c r="Y208" s="83">
        <f t="shared" si="153"/>
        <v>0</v>
      </c>
      <c r="Z208" s="10">
        <f t="shared" si="159"/>
        <v>0</v>
      </c>
      <c r="AA208" s="11" t="e">
        <f t="shared" si="155"/>
        <v>#DIV/0!</v>
      </c>
      <c r="AB208" s="11" t="e">
        <f t="shared" si="145"/>
        <v>#DIV/0!</v>
      </c>
      <c r="AC208" s="11" t="e">
        <f t="shared" si="156"/>
        <v>#DIV/0!</v>
      </c>
      <c r="AD208" s="11" t="e">
        <f t="shared" si="157"/>
        <v>#DIV/0!</v>
      </c>
      <c r="AE208" s="20"/>
      <c r="AF208" s="4" t="s">
        <v>59</v>
      </c>
      <c r="AG208" s="3" t="e">
        <f>W220</f>
        <v>#DIV/0!</v>
      </c>
    </row>
    <row r="209" spans="1:31" ht="13.8" x14ac:dyDescent="0.25">
      <c r="A209" s="272"/>
      <c r="B209" s="122"/>
      <c r="C209" s="164" t="s">
        <v>896</v>
      </c>
      <c r="D209" s="2"/>
      <c r="E209" s="2"/>
      <c r="F209" s="38"/>
      <c r="H209" s="88">
        <v>13</v>
      </c>
      <c r="I209" s="78">
        <v>0.54166666666666696</v>
      </c>
      <c r="J209" s="79">
        <v>13</v>
      </c>
      <c r="K209" s="6">
        <f>'Step 2 - Facility Data Inputs'!K36</f>
        <v>0</v>
      </c>
      <c r="L209" s="179">
        <f t="shared" si="135"/>
        <v>0</v>
      </c>
      <c r="M209" s="72">
        <f t="shared" si="147"/>
        <v>0</v>
      </c>
      <c r="N209" s="72">
        <f t="shared" si="158"/>
        <v>0</v>
      </c>
      <c r="O209" s="72">
        <f t="shared" si="148"/>
        <v>0</v>
      </c>
      <c r="P209" s="83" t="e">
        <f t="shared" si="136"/>
        <v>#DIV/0!</v>
      </c>
      <c r="Q209" s="83" t="e">
        <f t="shared" si="137"/>
        <v>#DIV/0!</v>
      </c>
      <c r="R209" s="83" t="e">
        <f t="shared" si="138"/>
        <v>#DIV/0!</v>
      </c>
      <c r="S209" s="10">
        <f t="shared" si="139"/>
        <v>0</v>
      </c>
      <c r="T209" s="10">
        <f t="shared" si="149"/>
        <v>0</v>
      </c>
      <c r="U209" s="10">
        <f t="shared" si="150"/>
        <v>0</v>
      </c>
      <c r="V209" s="10">
        <f t="shared" si="151"/>
        <v>0</v>
      </c>
      <c r="W209" s="11" t="e">
        <f t="shared" si="152"/>
        <v>#DIV/0!</v>
      </c>
      <c r="X209" s="11">
        <f t="shared" si="141"/>
        <v>0</v>
      </c>
      <c r="Y209" s="83">
        <f t="shared" si="153"/>
        <v>0</v>
      </c>
      <c r="Z209" s="10">
        <f t="shared" si="159"/>
        <v>0</v>
      </c>
      <c r="AA209" s="11" t="e">
        <f t="shared" si="155"/>
        <v>#DIV/0!</v>
      </c>
      <c r="AB209" s="11" t="e">
        <f t="shared" si="145"/>
        <v>#DIV/0!</v>
      </c>
      <c r="AC209" s="11" t="e">
        <f t="shared" si="156"/>
        <v>#DIV/0!</v>
      </c>
      <c r="AD209" s="11" t="e">
        <f t="shared" si="157"/>
        <v>#DIV/0!</v>
      </c>
      <c r="AE209" s="20"/>
    </row>
    <row r="210" spans="1:31" x14ac:dyDescent="0.25">
      <c r="A210" s="272"/>
      <c r="B210" s="122"/>
      <c r="C210" s="114" t="s">
        <v>899</v>
      </c>
      <c r="D210" s="118" t="s">
        <v>895</v>
      </c>
      <c r="E210" s="118" t="s">
        <v>898</v>
      </c>
      <c r="F210" s="119" t="s">
        <v>897</v>
      </c>
      <c r="H210" s="88">
        <v>14</v>
      </c>
      <c r="I210" s="78">
        <v>0.58333333333333304</v>
      </c>
      <c r="J210" s="79">
        <v>14</v>
      </c>
      <c r="K210" s="6">
        <f>'Step 2 - Facility Data Inputs'!K37</f>
        <v>0</v>
      </c>
      <c r="L210" s="179">
        <f t="shared" si="135"/>
        <v>0</v>
      </c>
      <c r="M210" s="72">
        <f t="shared" si="147"/>
        <v>0</v>
      </c>
      <c r="N210" s="72">
        <f t="shared" si="158"/>
        <v>0</v>
      </c>
      <c r="O210" s="72">
        <f t="shared" si="148"/>
        <v>0</v>
      </c>
      <c r="P210" s="83" t="e">
        <f t="shared" si="136"/>
        <v>#DIV/0!</v>
      </c>
      <c r="Q210" s="83" t="e">
        <f t="shared" si="137"/>
        <v>#DIV/0!</v>
      </c>
      <c r="R210" s="83" t="e">
        <f t="shared" si="138"/>
        <v>#DIV/0!</v>
      </c>
      <c r="S210" s="10">
        <f t="shared" si="139"/>
        <v>0</v>
      </c>
      <c r="T210" s="10">
        <f t="shared" si="149"/>
        <v>0</v>
      </c>
      <c r="U210" s="10">
        <f t="shared" si="150"/>
        <v>0</v>
      </c>
      <c r="V210" s="10">
        <f t="shared" si="151"/>
        <v>0</v>
      </c>
      <c r="W210" s="11" t="e">
        <f t="shared" si="152"/>
        <v>#DIV/0!</v>
      </c>
      <c r="X210" s="11">
        <f t="shared" si="141"/>
        <v>0</v>
      </c>
      <c r="Y210" s="83">
        <f t="shared" si="153"/>
        <v>0</v>
      </c>
      <c r="Z210" s="10">
        <f t="shared" si="159"/>
        <v>0</v>
      </c>
      <c r="AA210" s="11" t="e">
        <f t="shared" si="155"/>
        <v>#DIV/0!</v>
      </c>
      <c r="AB210" s="11" t="e">
        <f t="shared" si="145"/>
        <v>#DIV/0!</v>
      </c>
      <c r="AC210" s="11" t="e">
        <f t="shared" si="156"/>
        <v>#DIV/0!</v>
      </c>
      <c r="AD210" s="11" t="e">
        <f t="shared" si="157"/>
        <v>#DIV/0!</v>
      </c>
      <c r="AE210" s="20"/>
    </row>
    <row r="211" spans="1:31" x14ac:dyDescent="0.25">
      <c r="A211" s="272"/>
      <c r="B211" s="122"/>
      <c r="C211" s="114" t="s">
        <v>903</v>
      </c>
      <c r="D211" s="112" t="e">
        <f>P220</f>
        <v>#DIV/0!</v>
      </c>
      <c r="E211" s="112" t="e">
        <f>AA220</f>
        <v>#DIV/0!</v>
      </c>
      <c r="F211" s="112" t="e">
        <f>W220</f>
        <v>#DIV/0!</v>
      </c>
      <c r="H211" s="88">
        <v>15</v>
      </c>
      <c r="I211" s="78">
        <v>0.625</v>
      </c>
      <c r="J211" s="79">
        <v>15</v>
      </c>
      <c r="K211" s="6">
        <f>'Step 2 - Facility Data Inputs'!K38</f>
        <v>0</v>
      </c>
      <c r="L211" s="179">
        <f t="shared" si="135"/>
        <v>0</v>
      </c>
      <c r="M211" s="72">
        <f t="shared" si="147"/>
        <v>0</v>
      </c>
      <c r="N211" s="72">
        <f t="shared" si="158"/>
        <v>0</v>
      </c>
      <c r="O211" s="72">
        <f t="shared" si="148"/>
        <v>0</v>
      </c>
      <c r="P211" s="83" t="e">
        <f t="shared" si="136"/>
        <v>#DIV/0!</v>
      </c>
      <c r="Q211" s="83" t="e">
        <f t="shared" si="137"/>
        <v>#DIV/0!</v>
      </c>
      <c r="R211" s="83" t="e">
        <f t="shared" si="138"/>
        <v>#DIV/0!</v>
      </c>
      <c r="S211" s="10">
        <f t="shared" si="139"/>
        <v>0</v>
      </c>
      <c r="T211" s="10">
        <f t="shared" si="149"/>
        <v>0</v>
      </c>
      <c r="U211" s="10">
        <f t="shared" si="150"/>
        <v>0</v>
      </c>
      <c r="V211" s="10">
        <f t="shared" si="151"/>
        <v>0</v>
      </c>
      <c r="W211" s="11" t="e">
        <f t="shared" si="152"/>
        <v>#DIV/0!</v>
      </c>
      <c r="X211" s="11">
        <f t="shared" si="141"/>
        <v>0</v>
      </c>
      <c r="Y211" s="83">
        <f t="shared" si="153"/>
        <v>0</v>
      </c>
      <c r="Z211" s="10">
        <f t="shared" si="159"/>
        <v>0</v>
      </c>
      <c r="AA211" s="11" t="e">
        <f t="shared" si="155"/>
        <v>#DIV/0!</v>
      </c>
      <c r="AB211" s="11" t="e">
        <f t="shared" si="145"/>
        <v>#DIV/0!</v>
      </c>
      <c r="AC211" s="11" t="e">
        <f t="shared" si="156"/>
        <v>#DIV/0!</v>
      </c>
      <c r="AD211" s="11" t="e">
        <f t="shared" si="157"/>
        <v>#DIV/0!</v>
      </c>
      <c r="AE211" s="20"/>
    </row>
    <row r="212" spans="1:31" x14ac:dyDescent="0.25">
      <c r="A212" s="272"/>
      <c r="B212" s="122"/>
      <c r="C212" s="114" t="s">
        <v>904</v>
      </c>
      <c r="D212" s="113" t="e">
        <f>Q220</f>
        <v>#DIV/0!</v>
      </c>
      <c r="E212" s="113" t="e">
        <f>AB220</f>
        <v>#DIV/0!</v>
      </c>
      <c r="F212" s="113">
        <f>X220</f>
        <v>0</v>
      </c>
      <c r="H212" s="88">
        <v>16</v>
      </c>
      <c r="I212" s="78">
        <v>0.66666666666666696</v>
      </c>
      <c r="J212" s="79">
        <v>16</v>
      </c>
      <c r="K212" s="6">
        <f>'Step 2 - Facility Data Inputs'!K39</f>
        <v>0</v>
      </c>
      <c r="L212" s="179">
        <f t="shared" si="135"/>
        <v>0</v>
      </c>
      <c r="M212" s="72">
        <f t="shared" si="147"/>
        <v>0</v>
      </c>
      <c r="N212" s="72">
        <f t="shared" si="158"/>
        <v>0</v>
      </c>
      <c r="O212" s="72">
        <f t="shared" si="148"/>
        <v>0</v>
      </c>
      <c r="P212" s="83" t="e">
        <f t="shared" si="136"/>
        <v>#DIV/0!</v>
      </c>
      <c r="Q212" s="83" t="e">
        <f t="shared" si="137"/>
        <v>#DIV/0!</v>
      </c>
      <c r="R212" s="83" t="e">
        <f t="shared" si="138"/>
        <v>#DIV/0!</v>
      </c>
      <c r="S212" s="10">
        <f t="shared" si="139"/>
        <v>0</v>
      </c>
      <c r="T212" s="10">
        <f t="shared" si="149"/>
        <v>0</v>
      </c>
      <c r="U212" s="10">
        <f t="shared" si="150"/>
        <v>0</v>
      </c>
      <c r="V212" s="10">
        <f t="shared" si="151"/>
        <v>0</v>
      </c>
      <c r="W212" s="11" t="e">
        <f t="shared" si="152"/>
        <v>#DIV/0!</v>
      </c>
      <c r="X212" s="11">
        <f t="shared" si="141"/>
        <v>0</v>
      </c>
      <c r="Y212" s="83">
        <f t="shared" si="153"/>
        <v>0</v>
      </c>
      <c r="Z212" s="10">
        <f t="shared" si="159"/>
        <v>0</v>
      </c>
      <c r="AA212" s="11" t="e">
        <f t="shared" si="155"/>
        <v>#DIV/0!</v>
      </c>
      <c r="AB212" s="11" t="e">
        <f t="shared" si="145"/>
        <v>#DIV/0!</v>
      </c>
      <c r="AC212" s="11" t="e">
        <f t="shared" si="156"/>
        <v>#DIV/0!</v>
      </c>
      <c r="AD212" s="11" t="e">
        <f t="shared" si="157"/>
        <v>#DIV/0!</v>
      </c>
      <c r="AE212" s="20"/>
    </row>
    <row r="213" spans="1:31" x14ac:dyDescent="0.25">
      <c r="A213" s="272"/>
      <c r="B213" s="122"/>
      <c r="C213" s="114" t="s">
        <v>905</v>
      </c>
      <c r="D213" s="115" t="e">
        <f>R221</f>
        <v>#DIV/0!</v>
      </c>
      <c r="E213" s="115" t="e">
        <f>AD221</f>
        <v>#DIV/0!</v>
      </c>
      <c r="F213" s="115" t="e">
        <f>Y221</f>
        <v>#DIV/0!</v>
      </c>
      <c r="H213" s="88">
        <v>17</v>
      </c>
      <c r="I213" s="78">
        <v>0.70833333333333304</v>
      </c>
      <c r="J213" s="79">
        <v>17</v>
      </c>
      <c r="K213" s="6">
        <f>'Step 2 - Facility Data Inputs'!K40</f>
        <v>0</v>
      </c>
      <c r="L213" s="179">
        <f t="shared" si="135"/>
        <v>0</v>
      </c>
      <c r="M213" s="72">
        <f t="shared" si="147"/>
        <v>0</v>
      </c>
      <c r="N213" s="72">
        <f t="shared" si="158"/>
        <v>0</v>
      </c>
      <c r="O213" s="72">
        <f t="shared" si="148"/>
        <v>0</v>
      </c>
      <c r="P213" s="83" t="e">
        <f t="shared" si="136"/>
        <v>#DIV/0!</v>
      </c>
      <c r="Q213" s="83" t="e">
        <f t="shared" si="137"/>
        <v>#DIV/0!</v>
      </c>
      <c r="R213" s="83" t="e">
        <f t="shared" si="138"/>
        <v>#DIV/0!</v>
      </c>
      <c r="S213" s="10">
        <f t="shared" si="139"/>
        <v>0</v>
      </c>
      <c r="T213" s="10">
        <f t="shared" si="149"/>
        <v>0</v>
      </c>
      <c r="U213" s="10">
        <f t="shared" si="150"/>
        <v>0</v>
      </c>
      <c r="V213" s="10">
        <f t="shared" si="151"/>
        <v>0</v>
      </c>
      <c r="W213" s="11" t="e">
        <f t="shared" si="152"/>
        <v>#DIV/0!</v>
      </c>
      <c r="X213" s="11">
        <f t="shared" si="141"/>
        <v>0</v>
      </c>
      <c r="Y213" s="83">
        <f t="shared" si="153"/>
        <v>0</v>
      </c>
      <c r="Z213" s="10">
        <f t="shared" si="159"/>
        <v>0</v>
      </c>
      <c r="AA213" s="11" t="e">
        <f t="shared" si="155"/>
        <v>#DIV/0!</v>
      </c>
      <c r="AB213" s="11" t="e">
        <f t="shared" si="145"/>
        <v>#DIV/0!</v>
      </c>
      <c r="AC213" s="11" t="e">
        <f t="shared" si="156"/>
        <v>#DIV/0!</v>
      </c>
      <c r="AD213" s="11" t="e">
        <f t="shared" si="157"/>
        <v>#DIV/0!</v>
      </c>
      <c r="AE213" s="20"/>
    </row>
    <row r="214" spans="1:31" ht="13.8" thickBot="1" x14ac:dyDescent="0.3">
      <c r="A214" s="273"/>
      <c r="B214" s="161"/>
      <c r="C214" s="162"/>
      <c r="D214" s="162"/>
      <c r="E214" s="162"/>
      <c r="F214" s="12"/>
      <c r="H214" s="88">
        <v>18</v>
      </c>
      <c r="I214" s="78">
        <v>0.75</v>
      </c>
      <c r="J214" s="79">
        <v>18</v>
      </c>
      <c r="K214" s="6">
        <f>'Step 2 - Facility Data Inputs'!K41</f>
        <v>0</v>
      </c>
      <c r="L214" s="179">
        <f t="shared" si="135"/>
        <v>0</v>
      </c>
      <c r="M214" s="72">
        <f t="shared" si="147"/>
        <v>0</v>
      </c>
      <c r="N214" s="72">
        <f t="shared" si="158"/>
        <v>0</v>
      </c>
      <c r="O214" s="72">
        <f t="shared" si="148"/>
        <v>0</v>
      </c>
      <c r="P214" s="83" t="e">
        <f t="shared" si="136"/>
        <v>#DIV/0!</v>
      </c>
      <c r="Q214" s="83" t="e">
        <f t="shared" si="137"/>
        <v>#DIV/0!</v>
      </c>
      <c r="R214" s="83" t="e">
        <f t="shared" si="138"/>
        <v>#DIV/0!</v>
      </c>
      <c r="S214" s="10">
        <f t="shared" si="139"/>
        <v>0</v>
      </c>
      <c r="T214" s="10">
        <f t="shared" si="149"/>
        <v>0</v>
      </c>
      <c r="U214" s="10">
        <f t="shared" si="150"/>
        <v>0</v>
      </c>
      <c r="V214" s="10">
        <f t="shared" si="151"/>
        <v>0</v>
      </c>
      <c r="W214" s="11" t="e">
        <f t="shared" si="152"/>
        <v>#DIV/0!</v>
      </c>
      <c r="X214" s="11">
        <f t="shared" si="141"/>
        <v>0</v>
      </c>
      <c r="Y214" s="83">
        <f t="shared" si="153"/>
        <v>0</v>
      </c>
      <c r="Z214" s="10">
        <f t="shared" si="159"/>
        <v>0</v>
      </c>
      <c r="AA214" s="11" t="e">
        <f t="shared" si="155"/>
        <v>#DIV/0!</v>
      </c>
      <c r="AB214" s="11" t="e">
        <f t="shared" si="145"/>
        <v>#DIV/0!</v>
      </c>
      <c r="AC214" s="11" t="e">
        <f t="shared" si="156"/>
        <v>#DIV/0!</v>
      </c>
      <c r="AD214" s="11" t="e">
        <f t="shared" si="157"/>
        <v>#DIV/0!</v>
      </c>
      <c r="AE214" s="20"/>
    </row>
    <row r="215" spans="1:31" x14ac:dyDescent="0.25">
      <c r="H215" s="88">
        <v>19</v>
      </c>
      <c r="I215" s="78">
        <v>0.79166666666666696</v>
      </c>
      <c r="J215" s="79">
        <v>19</v>
      </c>
      <c r="K215" s="6">
        <f>'Step 2 - Facility Data Inputs'!K42</f>
        <v>0</v>
      </c>
      <c r="L215" s="179">
        <f t="shared" si="135"/>
        <v>0</v>
      </c>
      <c r="M215" s="72">
        <f t="shared" si="147"/>
        <v>0</v>
      </c>
      <c r="N215" s="72">
        <f t="shared" si="158"/>
        <v>0</v>
      </c>
      <c r="O215" s="72">
        <f t="shared" si="148"/>
        <v>0</v>
      </c>
      <c r="P215" s="83" t="e">
        <f t="shared" si="136"/>
        <v>#DIV/0!</v>
      </c>
      <c r="Q215" s="83" t="e">
        <f t="shared" si="137"/>
        <v>#DIV/0!</v>
      </c>
      <c r="R215" s="83" t="e">
        <f t="shared" si="138"/>
        <v>#DIV/0!</v>
      </c>
      <c r="S215" s="10">
        <f t="shared" si="139"/>
        <v>0</v>
      </c>
      <c r="T215" s="10">
        <f t="shared" si="149"/>
        <v>0</v>
      </c>
      <c r="U215" s="10">
        <f>IF((K215&lt;S215),IF((S215-K215)&gt;V214,V214+K215+U214,S215+U214),(S215+U214))</f>
        <v>0</v>
      </c>
      <c r="V215" s="10">
        <f t="shared" si="151"/>
        <v>0</v>
      </c>
      <c r="W215" s="11" t="e">
        <f t="shared" si="152"/>
        <v>#DIV/0!</v>
      </c>
      <c r="X215" s="11">
        <f t="shared" si="141"/>
        <v>0</v>
      </c>
      <c r="Y215" s="83">
        <f t="shared" si="153"/>
        <v>0</v>
      </c>
      <c r="Z215" s="10">
        <f t="shared" si="159"/>
        <v>0</v>
      </c>
      <c r="AA215" s="11" t="e">
        <f t="shared" si="155"/>
        <v>#DIV/0!</v>
      </c>
      <c r="AB215" s="11" t="e">
        <f t="shared" si="145"/>
        <v>#DIV/0!</v>
      </c>
      <c r="AC215" s="11" t="e">
        <f t="shared" si="156"/>
        <v>#DIV/0!</v>
      </c>
      <c r="AD215" s="11" t="e">
        <f t="shared" si="157"/>
        <v>#DIV/0!</v>
      </c>
      <c r="AE215" s="20"/>
    </row>
    <row r="216" spans="1:31" x14ac:dyDescent="0.25">
      <c r="H216" s="88">
        <v>20</v>
      </c>
      <c r="I216" s="78">
        <v>0.83333333333333304</v>
      </c>
      <c r="J216" s="79">
        <v>20</v>
      </c>
      <c r="K216" s="6">
        <f>'Step 2 - Facility Data Inputs'!K43</f>
        <v>0</v>
      </c>
      <c r="L216" s="179">
        <f t="shared" si="135"/>
        <v>0</v>
      </c>
      <c r="M216" s="72">
        <f t="shared" si="147"/>
        <v>0</v>
      </c>
      <c r="N216" s="72">
        <f t="shared" si="158"/>
        <v>0</v>
      </c>
      <c r="O216" s="72">
        <f t="shared" si="148"/>
        <v>0</v>
      </c>
      <c r="P216" s="83" t="e">
        <f t="shared" si="136"/>
        <v>#DIV/0!</v>
      </c>
      <c r="Q216" s="83" t="e">
        <f t="shared" si="137"/>
        <v>#DIV/0!</v>
      </c>
      <c r="R216" s="83" t="e">
        <f t="shared" si="138"/>
        <v>#DIV/0!</v>
      </c>
      <c r="S216" s="10">
        <f t="shared" si="139"/>
        <v>0</v>
      </c>
      <c r="T216" s="10">
        <f t="shared" si="149"/>
        <v>0</v>
      </c>
      <c r="U216" s="10">
        <f t="shared" ref="U216:U219" si="160">IF((K216&lt;S216),IF((S216-K216)&gt;V215,V215+K216+U215,S216+U215),(S216+U215))</f>
        <v>0</v>
      </c>
      <c r="V216" s="10">
        <f t="shared" si="151"/>
        <v>0</v>
      </c>
      <c r="W216" s="11" t="e">
        <f t="shared" si="152"/>
        <v>#DIV/0!</v>
      </c>
      <c r="X216" s="11">
        <f t="shared" si="141"/>
        <v>0</v>
      </c>
      <c r="Y216" s="83">
        <f t="shared" si="153"/>
        <v>0</v>
      </c>
      <c r="Z216" s="10">
        <f t="shared" si="159"/>
        <v>0</v>
      </c>
      <c r="AA216" s="11" t="e">
        <f t="shared" si="155"/>
        <v>#DIV/0!</v>
      </c>
      <c r="AB216" s="11" t="e">
        <f t="shared" si="145"/>
        <v>#DIV/0!</v>
      </c>
      <c r="AC216" s="11" t="e">
        <f t="shared" si="156"/>
        <v>#DIV/0!</v>
      </c>
      <c r="AD216" s="11" t="e">
        <f t="shared" si="157"/>
        <v>#DIV/0!</v>
      </c>
      <c r="AE216" s="20"/>
    </row>
    <row r="217" spans="1:31" x14ac:dyDescent="0.25">
      <c r="H217" s="88">
        <v>21</v>
      </c>
      <c r="I217" s="78">
        <v>0.875</v>
      </c>
      <c r="J217" s="79">
        <v>21</v>
      </c>
      <c r="K217" s="6">
        <f>'Step 2 - Facility Data Inputs'!K44</f>
        <v>0</v>
      </c>
      <c r="L217" s="179">
        <f t="shared" si="135"/>
        <v>0</v>
      </c>
      <c r="M217" s="72">
        <f t="shared" si="147"/>
        <v>0</v>
      </c>
      <c r="N217" s="72">
        <f t="shared" si="158"/>
        <v>0</v>
      </c>
      <c r="O217" s="72">
        <f t="shared" si="148"/>
        <v>0</v>
      </c>
      <c r="P217" s="83" t="e">
        <f t="shared" si="136"/>
        <v>#DIV/0!</v>
      </c>
      <c r="Q217" s="83" t="e">
        <f t="shared" si="137"/>
        <v>#DIV/0!</v>
      </c>
      <c r="R217" s="83" t="e">
        <f t="shared" si="138"/>
        <v>#DIV/0!</v>
      </c>
      <c r="S217" s="10">
        <f t="shared" si="139"/>
        <v>0</v>
      </c>
      <c r="T217" s="10">
        <f t="shared" si="149"/>
        <v>0</v>
      </c>
      <c r="U217" s="10">
        <f t="shared" si="160"/>
        <v>0</v>
      </c>
      <c r="V217" s="10">
        <f t="shared" si="151"/>
        <v>0</v>
      </c>
      <c r="W217" s="11" t="e">
        <f t="shared" si="152"/>
        <v>#DIV/0!</v>
      </c>
      <c r="X217" s="11">
        <f t="shared" si="141"/>
        <v>0</v>
      </c>
      <c r="Y217" s="83">
        <f t="shared" si="153"/>
        <v>0</v>
      </c>
      <c r="Z217" s="10">
        <f t="shared" si="159"/>
        <v>0</v>
      </c>
      <c r="AA217" s="11" t="e">
        <f t="shared" si="155"/>
        <v>#DIV/0!</v>
      </c>
      <c r="AB217" s="11" t="e">
        <f t="shared" si="145"/>
        <v>#DIV/0!</v>
      </c>
      <c r="AC217" s="11" t="e">
        <f t="shared" si="156"/>
        <v>#DIV/0!</v>
      </c>
      <c r="AD217" s="11" t="e">
        <f t="shared" si="157"/>
        <v>#DIV/0!</v>
      </c>
      <c r="AE217" s="20"/>
    </row>
    <row r="218" spans="1:31" x14ac:dyDescent="0.25">
      <c r="H218" s="88">
        <v>22</v>
      </c>
      <c r="I218" s="78">
        <v>0.91666666666666696</v>
      </c>
      <c r="J218" s="79">
        <v>22</v>
      </c>
      <c r="K218" s="6">
        <f>'Step 2 - Facility Data Inputs'!K45</f>
        <v>0</v>
      </c>
      <c r="L218" s="179">
        <f t="shared" si="135"/>
        <v>0</v>
      </c>
      <c r="M218" s="72">
        <f t="shared" si="147"/>
        <v>0</v>
      </c>
      <c r="N218" s="72">
        <f t="shared" si="158"/>
        <v>0</v>
      </c>
      <c r="O218" s="72">
        <f t="shared" si="148"/>
        <v>0</v>
      </c>
      <c r="P218" s="83" t="e">
        <f t="shared" si="136"/>
        <v>#DIV/0!</v>
      </c>
      <c r="Q218" s="83" t="e">
        <f t="shared" si="137"/>
        <v>#DIV/0!</v>
      </c>
      <c r="R218" s="83" t="e">
        <f t="shared" si="138"/>
        <v>#DIV/0!</v>
      </c>
      <c r="S218" s="10">
        <f t="shared" si="139"/>
        <v>0</v>
      </c>
      <c r="T218" s="10">
        <f t="shared" si="149"/>
        <v>0</v>
      </c>
      <c r="U218" s="10">
        <f t="shared" si="160"/>
        <v>0</v>
      </c>
      <c r="V218" s="10">
        <f t="shared" si="151"/>
        <v>0</v>
      </c>
      <c r="W218" s="11" t="e">
        <f t="shared" si="152"/>
        <v>#DIV/0!</v>
      </c>
      <c r="X218" s="11">
        <f t="shared" si="141"/>
        <v>0</v>
      </c>
      <c r="Y218" s="83">
        <f t="shared" si="153"/>
        <v>0</v>
      </c>
      <c r="Z218" s="10">
        <f t="shared" si="159"/>
        <v>0</v>
      </c>
      <c r="AA218" s="11" t="e">
        <f t="shared" si="155"/>
        <v>#DIV/0!</v>
      </c>
      <c r="AB218" s="11" t="e">
        <f t="shared" si="145"/>
        <v>#DIV/0!</v>
      </c>
      <c r="AC218" s="11" t="e">
        <f t="shared" si="156"/>
        <v>#DIV/0!</v>
      </c>
      <c r="AD218" s="11" t="e">
        <f t="shared" si="157"/>
        <v>#DIV/0!</v>
      </c>
      <c r="AE218" s="20"/>
    </row>
    <row r="219" spans="1:31" ht="13.8" thickBot="1" x14ac:dyDescent="0.3">
      <c r="H219" s="89">
        <v>23</v>
      </c>
      <c r="I219" s="78">
        <v>0.95833333333333304</v>
      </c>
      <c r="J219" s="79">
        <v>23</v>
      </c>
      <c r="K219" s="6">
        <f>'Step 2 - Facility Data Inputs'!K46</f>
        <v>0</v>
      </c>
      <c r="L219" s="179">
        <f t="shared" si="135"/>
        <v>0</v>
      </c>
      <c r="M219" s="72">
        <f t="shared" si="147"/>
        <v>0</v>
      </c>
      <c r="N219" s="72">
        <f t="shared" si="158"/>
        <v>0</v>
      </c>
      <c r="O219" s="72">
        <f t="shared" si="148"/>
        <v>0</v>
      </c>
      <c r="P219" s="83" t="e">
        <f t="shared" si="136"/>
        <v>#DIV/0!</v>
      </c>
      <c r="Q219" s="83" t="e">
        <f t="shared" si="137"/>
        <v>#DIV/0!</v>
      </c>
      <c r="R219" s="83" t="e">
        <f t="shared" si="138"/>
        <v>#DIV/0!</v>
      </c>
      <c r="S219" s="10">
        <f t="shared" si="139"/>
        <v>0</v>
      </c>
      <c r="T219" s="13">
        <f t="shared" si="149"/>
        <v>0</v>
      </c>
      <c r="U219" s="10">
        <f t="shared" si="160"/>
        <v>0</v>
      </c>
      <c r="V219" s="13">
        <f t="shared" si="151"/>
        <v>0</v>
      </c>
      <c r="W219" s="11" t="e">
        <f t="shared" si="152"/>
        <v>#DIV/0!</v>
      </c>
      <c r="X219" s="11">
        <f t="shared" si="141"/>
        <v>0</v>
      </c>
      <c r="Y219" s="83">
        <f t="shared" si="153"/>
        <v>0</v>
      </c>
      <c r="Z219" s="13">
        <f t="shared" si="159"/>
        <v>0</v>
      </c>
      <c r="AA219" s="14" t="e">
        <f t="shared" si="155"/>
        <v>#DIV/0!</v>
      </c>
      <c r="AB219" s="11" t="e">
        <f t="shared" si="145"/>
        <v>#DIV/0!</v>
      </c>
      <c r="AC219" s="11" t="e">
        <f>IF((X219-Q219)=0,IF(OR(AB218&lt;&gt;0,AB196&lt;&gt;0),0,NA()),X219)</f>
        <v>#DIV/0!</v>
      </c>
      <c r="AD219" s="11" t="e">
        <f t="shared" si="157"/>
        <v>#DIV/0!</v>
      </c>
      <c r="AE219" s="20"/>
    </row>
    <row r="220" spans="1:31" x14ac:dyDescent="0.25">
      <c r="I220" s="5"/>
      <c r="J220" s="5"/>
      <c r="K220" s="5"/>
      <c r="L220" s="73"/>
      <c r="M220" s="73"/>
      <c r="N220" s="73"/>
      <c r="O220" s="73"/>
      <c r="P220" s="97" t="e">
        <f>MAX(P196:P219)</f>
        <v>#DIV/0!</v>
      </c>
      <c r="Q220" s="97" t="e">
        <f>MAX(Q196:Q219)</f>
        <v>#DIV/0!</v>
      </c>
      <c r="R220" s="97" t="e">
        <f>(SUM(R196:R219))</f>
        <v>#DIV/0!</v>
      </c>
      <c r="S220" s="5"/>
      <c r="T220" s="5"/>
      <c r="U220" s="5"/>
      <c r="V220" s="5"/>
      <c r="W220" s="87" t="e">
        <f>MAX(W196:W219)</f>
        <v>#DIV/0!</v>
      </c>
      <c r="X220" s="97">
        <f>MAX(X196:X219)</f>
        <v>0</v>
      </c>
      <c r="Y220" s="97">
        <f>ROUND(SUM(Y196:Y219),0)</f>
        <v>0</v>
      </c>
      <c r="Z220" s="19">
        <f>SUM(Z196:Z219)</f>
        <v>0</v>
      </c>
      <c r="AA220" s="97" t="e">
        <f>MAX(AA196:AA219)</f>
        <v>#DIV/0!</v>
      </c>
      <c r="AB220" s="97" t="e">
        <f>MAX(AB196:AB219)</f>
        <v>#DIV/0!</v>
      </c>
      <c r="AC220" s="97"/>
      <c r="AD220" s="97" t="e">
        <f>ROUND(SUM(AD196:AD219),0)</f>
        <v>#DIV/0!</v>
      </c>
      <c r="AE220" s="20"/>
    </row>
    <row r="221" spans="1:31" x14ac:dyDescent="0.25">
      <c r="I221" s="5"/>
      <c r="J221" s="5"/>
      <c r="K221" s="5"/>
      <c r="L221" s="73"/>
      <c r="M221" s="73"/>
      <c r="N221" s="73"/>
      <c r="O221" s="73"/>
      <c r="P221" s="73"/>
      <c r="Q221" s="73"/>
      <c r="R221" s="73" t="e">
        <f>IF(R220&lt;100,ROUND(R220,0),IF(R220&lt;1000,ROUND(R220,-1),ROUND(R220,-2)))</f>
        <v>#DIV/0!</v>
      </c>
      <c r="S221" s="5"/>
      <c r="T221" s="5"/>
      <c r="U221" s="5"/>
      <c r="V221" s="5"/>
      <c r="W221" s="5"/>
      <c r="X221" s="5"/>
      <c r="Y221" s="73" t="e">
        <f>AD221+R221</f>
        <v>#DIV/0!</v>
      </c>
      <c r="AD221" s="73" t="e">
        <f>IF(AD220&lt;100,ROUND(AD220,0),IF(AD220&lt;1000,ROUND(AD220,-1),ROUND(AD220,-2)))</f>
        <v>#DIV/0!</v>
      </c>
    </row>
  </sheetData>
  <sheetProtection selectLockedCells="1"/>
  <mergeCells count="56">
    <mergeCell ref="A194:A214"/>
    <mergeCell ref="D199:F199"/>
    <mergeCell ref="D200:F200"/>
    <mergeCell ref="D201:F201"/>
    <mergeCell ref="D202:F202"/>
    <mergeCell ref="D205:F205"/>
    <mergeCell ref="D206:F206"/>
    <mergeCell ref="D207:F207"/>
    <mergeCell ref="A165:A185"/>
    <mergeCell ref="D170:F170"/>
    <mergeCell ref="D171:F171"/>
    <mergeCell ref="D172:F172"/>
    <mergeCell ref="D173:F173"/>
    <mergeCell ref="D176:F176"/>
    <mergeCell ref="D177:F177"/>
    <mergeCell ref="D178:F178"/>
    <mergeCell ref="A136:A156"/>
    <mergeCell ref="D141:F141"/>
    <mergeCell ref="D142:F142"/>
    <mergeCell ref="D143:F143"/>
    <mergeCell ref="D144:F144"/>
    <mergeCell ref="D147:F147"/>
    <mergeCell ref="D148:F148"/>
    <mergeCell ref="D149:F149"/>
    <mergeCell ref="A107:A127"/>
    <mergeCell ref="D112:F112"/>
    <mergeCell ref="D113:F113"/>
    <mergeCell ref="D114:F114"/>
    <mergeCell ref="D115:F115"/>
    <mergeCell ref="D118:F118"/>
    <mergeCell ref="D119:F119"/>
    <mergeCell ref="D120:F120"/>
    <mergeCell ref="A78:A98"/>
    <mergeCell ref="D83:F83"/>
    <mergeCell ref="D84:F84"/>
    <mergeCell ref="D85:F85"/>
    <mergeCell ref="D86:F86"/>
    <mergeCell ref="D89:F89"/>
    <mergeCell ref="D90:F90"/>
    <mergeCell ref="D91:F91"/>
    <mergeCell ref="A49:A69"/>
    <mergeCell ref="D54:F54"/>
    <mergeCell ref="D55:F55"/>
    <mergeCell ref="D56:F56"/>
    <mergeCell ref="D57:F57"/>
    <mergeCell ref="D60:F60"/>
    <mergeCell ref="D61:F61"/>
    <mergeCell ref="D62:F62"/>
    <mergeCell ref="D33:F33"/>
    <mergeCell ref="D25:F25"/>
    <mergeCell ref="A20:A40"/>
    <mergeCell ref="D26:F26"/>
    <mergeCell ref="D27:F27"/>
    <mergeCell ref="D28:F28"/>
    <mergeCell ref="D31:F31"/>
    <mergeCell ref="D32:F32"/>
  </mergeCells>
  <conditionalFormatting sqref="D27 D31:D32 E30">
    <cfRule type="expression" dxfId="47" priority="20">
      <formula>$D$17=0</formula>
    </cfRule>
  </conditionalFormatting>
  <conditionalFormatting sqref="E30">
    <cfRule type="expression" dxfId="46" priority="21">
      <formula>$E$14&lt;&gt;0</formula>
    </cfRule>
  </conditionalFormatting>
  <conditionalFormatting sqref="D56:D57 D60:D61 E59">
    <cfRule type="expression" dxfId="45" priority="17">
      <formula>$D$18=0</formula>
    </cfRule>
  </conditionalFormatting>
  <conditionalFormatting sqref="E59">
    <cfRule type="expression" dxfId="44" priority="18">
      <formula>$E$15&lt;&gt;0</formula>
    </cfRule>
  </conditionalFormatting>
  <conditionalFormatting sqref="D85:D86 D89:D90 E88">
    <cfRule type="expression" dxfId="43" priority="14">
      <formula>$D$18=0</formula>
    </cfRule>
  </conditionalFormatting>
  <conditionalFormatting sqref="E88">
    <cfRule type="expression" dxfId="42" priority="15">
      <formula>$E$15&lt;&gt;0</formula>
    </cfRule>
  </conditionalFormatting>
  <conditionalFormatting sqref="D114:D115 D118:D119 E117">
    <cfRule type="expression" dxfId="41" priority="11">
      <formula>$D$18=0</formula>
    </cfRule>
  </conditionalFormatting>
  <conditionalFormatting sqref="E117">
    <cfRule type="expression" dxfId="40" priority="12">
      <formula>$E$15&lt;&gt;0</formula>
    </cfRule>
  </conditionalFormatting>
  <conditionalFormatting sqref="D143:D144 D147:D148 E146">
    <cfRule type="expression" dxfId="39" priority="8">
      <formula>$D$18=0</formula>
    </cfRule>
  </conditionalFormatting>
  <conditionalFormatting sqref="E146">
    <cfRule type="expression" dxfId="38" priority="9">
      <formula>$E$15&lt;&gt;0</formula>
    </cfRule>
  </conditionalFormatting>
  <conditionalFormatting sqref="D172:D173 D176:D177 E175">
    <cfRule type="expression" dxfId="37" priority="5">
      <formula>$D$18=0</formula>
    </cfRule>
  </conditionalFormatting>
  <conditionalFormatting sqref="E175">
    <cfRule type="expression" dxfId="36" priority="6">
      <formula>$E$15&lt;&gt;0</formula>
    </cfRule>
  </conditionalFormatting>
  <conditionalFormatting sqref="E204 D205:D206">
    <cfRule type="expression" dxfId="35" priority="2">
      <formula>$D$18=0</formula>
    </cfRule>
  </conditionalFormatting>
  <conditionalFormatting sqref="E204">
    <cfRule type="expression" dxfId="34" priority="3">
      <formula>$E$15&lt;&gt;0</formula>
    </cfRule>
  </conditionalFormatting>
  <dataValidations count="4">
    <dataValidation type="whole" operator="greaterThanOrEqual" allowBlank="1" showInputMessage="1" showErrorMessage="1" sqref="D28">
      <formula1>0</formula1>
    </dataValidation>
    <dataValidation type="list" allowBlank="1" showInputMessage="1" showErrorMessage="1" sqref="AA15:AE15 AG15">
      <formula1>#REF!</formula1>
    </dataValidation>
    <dataValidation type="whole" allowBlank="1" showInputMessage="1" showErrorMessage="1" errorTitle="Error" error="USER DEFINED Work Zone Capacity must be between 0 and the Base Conditions Capacity (Total for ALL Lanes).  Typically, the Work Zone Capacity will not fluxuate by more than +/- 10% of the ESTIMATED Work Zone Capacity." sqref="E59 E88 E117 E146 E175 E204">
      <formula1>0</formula1>
      <formula2>L66</formula2>
    </dataValidation>
    <dataValidation type="list" allowBlank="1" showInputMessage="1" showErrorMessage="1" sqref="D60:F61 D89:F90 D118:F119 D147:F148 D176:F177 D205:F206">
      <formula1>$I$22:$I$45</formula1>
    </dataValidation>
  </dataValidations>
  <pageMargins left="0.75" right="0.75" top="1" bottom="1" header="0.5" footer="0.5"/>
  <pageSetup orientation="portrait" verticalDpi="2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9" id="{642467B0-BC80-487F-A504-3393AB2D4A15}">
            <xm:f>$D$10='Reference Sheet'!$R$2</xm:f>
            <x14:dxf>
              <font>
                <b/>
                <i val="0"/>
              </font>
              <fill>
                <patternFill>
                  <bgColor rgb="FF00B0F0"/>
                </patternFill>
              </fill>
            </x14:dxf>
          </x14:cfRule>
          <xm:sqref>D26:F26</xm:sqref>
        </x14:conditionalFormatting>
        <x14:conditionalFormatting xmlns:xm="http://schemas.microsoft.com/office/excel/2006/main">
          <x14:cfRule type="expression" priority="16" id="{BEFD62D6-B5A1-47F2-B7BF-9D7E464B44A5}">
            <xm:f>$D$11='Reference Sheet'!$R$2</xm:f>
            <x14:dxf>
              <font>
                <b/>
                <i val="0"/>
              </font>
              <fill>
                <patternFill>
                  <bgColor rgb="FF00B0F0"/>
                </patternFill>
              </fill>
            </x14:dxf>
          </x14:cfRule>
          <xm:sqref>D55:F55</xm:sqref>
        </x14:conditionalFormatting>
        <x14:conditionalFormatting xmlns:xm="http://schemas.microsoft.com/office/excel/2006/main">
          <x14:cfRule type="expression" priority="13" id="{2E6FFA87-7279-4C53-B7AA-F4296A5A9FB0}">
            <xm:f>$D$11='Reference Sheet'!$R$2</xm:f>
            <x14:dxf>
              <font>
                <b/>
                <i val="0"/>
              </font>
              <fill>
                <patternFill>
                  <bgColor rgb="FF00B0F0"/>
                </patternFill>
              </fill>
            </x14:dxf>
          </x14:cfRule>
          <xm:sqref>D84:F84</xm:sqref>
        </x14:conditionalFormatting>
        <x14:conditionalFormatting xmlns:xm="http://schemas.microsoft.com/office/excel/2006/main">
          <x14:cfRule type="expression" priority="10" id="{8C809403-0E94-41AB-9AAF-CD7E638B986E}">
            <xm:f>$D$11='Reference Sheet'!$R$2</xm:f>
            <x14:dxf>
              <font>
                <b/>
                <i val="0"/>
              </font>
              <fill>
                <patternFill>
                  <bgColor rgb="FF00B0F0"/>
                </patternFill>
              </fill>
            </x14:dxf>
          </x14:cfRule>
          <xm:sqref>D113:F113</xm:sqref>
        </x14:conditionalFormatting>
        <x14:conditionalFormatting xmlns:xm="http://schemas.microsoft.com/office/excel/2006/main">
          <x14:cfRule type="expression" priority="7" id="{6921DFBF-66AF-4AB8-8AF3-4E3B41163E86}">
            <xm:f>$D$11='Reference Sheet'!$R$2</xm:f>
            <x14:dxf>
              <font>
                <b/>
                <i val="0"/>
              </font>
              <fill>
                <patternFill>
                  <bgColor rgb="FF00B0F0"/>
                </patternFill>
              </fill>
            </x14:dxf>
          </x14:cfRule>
          <xm:sqref>D142:F142</xm:sqref>
        </x14:conditionalFormatting>
        <x14:conditionalFormatting xmlns:xm="http://schemas.microsoft.com/office/excel/2006/main">
          <x14:cfRule type="expression" priority="4" id="{837C0E4D-B0E2-4370-A914-A5010E16DDFF}">
            <xm:f>$D$11='Reference Sheet'!$R$2</xm:f>
            <x14:dxf>
              <font>
                <b/>
                <i val="0"/>
              </font>
              <fill>
                <patternFill>
                  <bgColor rgb="FF00B0F0"/>
                </patternFill>
              </fill>
            </x14:dxf>
          </x14:cfRule>
          <xm:sqref>D171:F171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'HCM 2010 Program'!$B$6:$B$8</xm:f>
          </x14:formula1>
          <xm:sqref>D56 D85 D114 D143 D172</xm:sqref>
        </x14:dataValidation>
        <x14:dataValidation type="list" allowBlank="1" showInputMessage="1" showErrorMessage="1">
          <x14:formula1>
            <xm:f>'Reference Sheet'!$R$2:$R$8</xm:f>
          </x14:formula1>
          <xm:sqref>D55 D84 D113 D142 D171</xm:sqref>
        </x14:dataValidation>
        <x14:dataValidation type="whole" allowBlank="1" showInputMessage="1" showErrorMessage="1">
          <x14:formula1>
            <xm:f>0</xm:f>
          </x14:formula1>
          <x14:formula2>
            <xm:f>'Step 2 - Facility Data Inputs'!A59</xm:f>
          </x14:formula2>
          <xm:sqref>D57</xm:sqref>
        </x14:dataValidation>
        <x14:dataValidation type="whole" allowBlank="1" showInputMessage="1" showErrorMessage="1">
          <x14:formula1>
            <xm:f>0</xm:f>
          </x14:formula1>
          <x14:formula2>
            <xm:f>'Step 2 - Facility Data Inputs'!A117</xm:f>
          </x14:formula2>
          <xm:sqref>D115</xm:sqref>
        </x14:dataValidation>
        <x14:dataValidation type="whole" allowBlank="1" showInputMessage="1" showErrorMessage="1">
          <x14:formula1>
            <xm:f>0</xm:f>
          </x14:formula1>
          <x14:formula2>
            <xm:f>'Step 2 - Facility Data Inputs'!A88</xm:f>
          </x14:formula2>
          <xm:sqref>D86</xm:sqref>
        </x14:dataValidation>
        <x14:dataValidation type="whole" allowBlank="1" showInputMessage="1" showErrorMessage="1">
          <x14:formula1>
            <xm:f>0</xm:f>
          </x14:formula1>
          <x14:formula2>
            <xm:f>'Step 2 - Facility Data Inputs'!A146</xm:f>
          </x14:formula2>
          <xm:sqref>D144</xm:sqref>
        </x14:dataValidation>
        <x14:dataValidation type="whole" allowBlank="1" showInputMessage="1" showErrorMessage="1">
          <x14:formula1>
            <xm:f>0</xm:f>
          </x14:formula1>
          <x14:formula2>
            <xm:f>'Step 2 - Facility Data Inputs'!A175</xm:f>
          </x14:formula2>
          <xm:sqref>D173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7"/>
  <sheetViews>
    <sheetView showGridLines="0" workbookViewId="0">
      <selection activeCell="A2" sqref="A2"/>
    </sheetView>
  </sheetViews>
  <sheetFormatPr defaultRowHeight="13.2" x14ac:dyDescent="0.25"/>
  <cols>
    <col min="1" max="1" width="4.6640625" customWidth="1"/>
    <col min="2" max="2" width="1.6640625" customWidth="1"/>
    <col min="3" max="3" width="23.44140625" customWidth="1"/>
    <col min="4" max="6" width="17.6640625" customWidth="1"/>
    <col min="7" max="7" width="1.6640625" style="169" customWidth="1"/>
    <col min="8" max="8" width="13.6640625" style="169" customWidth="1"/>
    <col min="9" max="13" width="13.6640625" style="68" customWidth="1"/>
    <col min="14" max="14" width="1.6640625" customWidth="1"/>
    <col min="15" max="20" width="12.6640625" customWidth="1"/>
    <col min="21" max="21" width="1.6640625" customWidth="1"/>
    <col min="22" max="27" width="12.6640625" customWidth="1"/>
  </cols>
  <sheetData>
    <row r="1" spans="1:14" ht="45" customHeight="1" x14ac:dyDescent="0.25">
      <c r="A1" s="247" t="s">
        <v>907</v>
      </c>
      <c r="B1" s="247"/>
      <c r="C1" s="247"/>
      <c r="D1" s="247"/>
      <c r="E1" s="247"/>
      <c r="F1" s="247"/>
      <c r="G1" s="247"/>
      <c r="H1" s="247"/>
      <c r="I1" s="247"/>
      <c r="J1" s="247"/>
      <c r="K1" s="247"/>
      <c r="L1" s="247"/>
      <c r="M1" s="247"/>
      <c r="N1" s="247"/>
    </row>
    <row r="2" spans="1:14" ht="15" customHeight="1" x14ac:dyDescent="0.5">
      <c r="D2" s="26"/>
      <c r="M2" s="71"/>
      <c r="N2" s="26"/>
    </row>
    <row r="3" spans="1:14" s="61" customFormat="1" ht="30" customHeight="1" x14ac:dyDescent="0.25">
      <c r="A3" s="128" t="str">
        <f>CONCATENATE("District: ",'Step 2 - Facility Data Inputs'!A6,"      Route: ",'Step 2 - Facility Data Inputs'!E6,"     County: ",'Step 2 - Facility Data Inputs'!G6,"      Job No.: ",'Step 2 - Facility Data Inputs'!I6)</f>
        <v xml:space="preserve">District:       Route:      County:       Job No.: </v>
      </c>
      <c r="B3" s="129"/>
      <c r="F3" s="130"/>
      <c r="G3" s="170"/>
      <c r="H3" s="170"/>
      <c r="I3" s="130"/>
      <c r="J3" s="130"/>
      <c r="K3" s="130"/>
      <c r="L3" s="130"/>
      <c r="M3" s="130"/>
      <c r="N3" s="130"/>
    </row>
    <row r="4" spans="1:14" ht="15" customHeight="1" thickBot="1" x14ac:dyDescent="0.3">
      <c r="I4" s="104"/>
      <c r="L4" s="105"/>
      <c r="M4" s="104"/>
      <c r="N4" s="104"/>
    </row>
    <row r="5" spans="1:14" ht="15" customHeight="1" x14ac:dyDescent="0.3">
      <c r="A5" s="271" t="str">
        <f>CONCATENATE('Step 2 - Facility Data Inputs'!E19,"(",TEXT('Step 2 - Facility Data Inputs'!E20,"m/d/yy"),")")</f>
        <v>Sunday()</v>
      </c>
      <c r="B5" s="155"/>
      <c r="C5" s="156"/>
      <c r="D5" s="156"/>
      <c r="E5" s="157"/>
      <c r="F5" s="157"/>
      <c r="G5" s="171"/>
      <c r="H5" s="171"/>
      <c r="I5" s="157"/>
      <c r="J5" s="157"/>
      <c r="K5" s="157"/>
      <c r="L5" s="157"/>
      <c r="M5" s="157"/>
      <c r="N5" s="158"/>
    </row>
    <row r="6" spans="1:14" ht="15" customHeight="1" x14ac:dyDescent="0.25">
      <c r="A6" s="272"/>
      <c r="B6" s="122"/>
      <c r="C6" s="164" t="s">
        <v>906</v>
      </c>
      <c r="D6" s="2"/>
      <c r="E6" s="2"/>
      <c r="F6" s="2"/>
      <c r="G6" s="172"/>
      <c r="H6" s="173"/>
      <c r="I6" s="2"/>
      <c r="J6" s="2"/>
      <c r="K6" s="2"/>
      <c r="L6" s="2"/>
      <c r="M6" s="2"/>
      <c r="N6" s="159"/>
    </row>
    <row r="7" spans="1:14" ht="30" customHeight="1" x14ac:dyDescent="0.25">
      <c r="A7" s="272"/>
      <c r="B7" s="122"/>
      <c r="C7" s="121" t="s">
        <v>945</v>
      </c>
      <c r="D7" s="184">
        <v>1900</v>
      </c>
      <c r="E7" s="283" t="str">
        <f>CONCATENATE("Base Conditions Capacity
(Total for ALL Lanes): ",'WZ Analysis (Worksheet)'!F22, " veh/h")</f>
        <v>Base Conditions Capacity
(Total for ALL Lanes): 0 veh/h</v>
      </c>
      <c r="F7" s="284"/>
      <c r="G7" s="172"/>
      <c r="H7" s="173"/>
      <c r="I7" s="2"/>
      <c r="J7" s="2"/>
      <c r="K7" s="2"/>
      <c r="L7" s="2"/>
      <c r="M7" s="2"/>
      <c r="N7" s="159"/>
    </row>
    <row r="8" spans="1:14" ht="6.9" customHeight="1" x14ac:dyDescent="0.25">
      <c r="A8" s="272"/>
      <c r="B8" s="122"/>
      <c r="C8" s="2"/>
      <c r="D8" s="125"/>
      <c r="E8" s="2"/>
      <c r="F8" s="2"/>
      <c r="G8" s="172"/>
      <c r="H8" s="173"/>
      <c r="I8" s="2"/>
      <c r="J8" s="2"/>
      <c r="K8" s="2"/>
      <c r="L8" s="2"/>
      <c r="M8" s="2"/>
      <c r="N8" s="159"/>
    </row>
    <row r="9" spans="1:14" ht="15" customHeight="1" x14ac:dyDescent="0.25">
      <c r="A9" s="272"/>
      <c r="B9" s="122"/>
      <c r="C9" s="165" t="s">
        <v>841</v>
      </c>
      <c r="D9" s="125"/>
      <c r="E9" s="2"/>
      <c r="F9" s="2"/>
      <c r="G9" s="172"/>
      <c r="H9" s="173"/>
      <c r="I9" s="2"/>
      <c r="J9" s="2"/>
      <c r="K9" s="2"/>
      <c r="L9" s="2"/>
      <c r="M9" s="2"/>
      <c r="N9" s="159"/>
    </row>
    <row r="10" spans="1:14" ht="30" customHeight="1" x14ac:dyDescent="0.25">
      <c r="A10" s="272"/>
      <c r="B10" s="122"/>
      <c r="C10" s="120" t="s">
        <v>920</v>
      </c>
      <c r="D10" s="285" t="s">
        <v>921</v>
      </c>
      <c r="E10" s="286"/>
      <c r="F10" s="287"/>
      <c r="G10" s="172"/>
      <c r="H10" s="173"/>
      <c r="I10" s="2"/>
      <c r="J10" s="2"/>
      <c r="K10" s="2"/>
      <c r="L10" s="2"/>
      <c r="M10" s="2"/>
      <c r="N10" s="159"/>
    </row>
    <row r="11" spans="1:14" ht="15" customHeight="1" x14ac:dyDescent="0.25">
      <c r="A11" s="272"/>
      <c r="B11" s="122"/>
      <c r="C11" s="120" t="s">
        <v>913</v>
      </c>
      <c r="D11" s="288" t="s">
        <v>886</v>
      </c>
      <c r="E11" s="288"/>
      <c r="F11" s="288"/>
      <c r="G11" s="172"/>
      <c r="H11" s="172"/>
      <c r="I11" s="42"/>
      <c r="J11" s="42"/>
      <c r="K11" s="42"/>
      <c r="L11" s="126"/>
      <c r="M11" s="126"/>
      <c r="N11" s="159"/>
    </row>
    <row r="12" spans="1:14" ht="15" customHeight="1" x14ac:dyDescent="0.25">
      <c r="A12" s="272"/>
      <c r="B12" s="122"/>
      <c r="C12" s="120" t="s">
        <v>914</v>
      </c>
      <c r="D12" s="282" t="s">
        <v>28</v>
      </c>
      <c r="E12" s="282"/>
      <c r="F12" s="282"/>
      <c r="G12" s="172"/>
      <c r="H12" s="172"/>
      <c r="I12" s="42"/>
      <c r="J12" s="42"/>
      <c r="K12" s="42"/>
      <c r="L12" s="2"/>
      <c r="M12" s="2"/>
      <c r="N12" s="159"/>
    </row>
    <row r="13" spans="1:14" ht="15" customHeight="1" x14ac:dyDescent="0.25">
      <c r="A13" s="272"/>
      <c r="B13" s="122"/>
      <c r="C13" s="120" t="s">
        <v>915</v>
      </c>
      <c r="D13" s="282">
        <f>'Step 2 - Facility Data Inputs'!A12</f>
        <v>0</v>
      </c>
      <c r="E13" s="282"/>
      <c r="F13" s="282"/>
      <c r="G13" s="172"/>
      <c r="H13" s="173"/>
      <c r="I13" s="2"/>
      <c r="J13" s="2"/>
      <c r="K13" s="2"/>
      <c r="L13" s="2"/>
      <c r="M13" s="2"/>
      <c r="N13" s="159"/>
    </row>
    <row r="14" spans="1:14" ht="30" customHeight="1" x14ac:dyDescent="0.25">
      <c r="A14" s="272"/>
      <c r="B14" s="122"/>
      <c r="C14" s="121" t="s">
        <v>946</v>
      </c>
      <c r="D14" s="281">
        <f>'WZ Analysis (Worksheet)'!F29</f>
        <v>0</v>
      </c>
      <c r="E14" s="281"/>
      <c r="F14" s="281"/>
      <c r="G14" s="172"/>
      <c r="H14" s="173"/>
      <c r="I14" s="2"/>
      <c r="J14" s="2"/>
      <c r="K14" s="2"/>
      <c r="L14" s="2"/>
      <c r="M14" s="2"/>
      <c r="N14" s="159"/>
    </row>
    <row r="15" spans="1:14" ht="30" customHeight="1" x14ac:dyDescent="0.25">
      <c r="A15" s="272"/>
      <c r="B15" s="122"/>
      <c r="C15" s="121" t="s">
        <v>947</v>
      </c>
      <c r="D15" s="124"/>
      <c r="E15" s="177"/>
      <c r="F15" s="123"/>
      <c r="G15" s="172"/>
      <c r="H15" s="173"/>
      <c r="I15" s="2"/>
      <c r="J15" s="2"/>
      <c r="K15" s="2"/>
      <c r="L15" s="2"/>
      <c r="M15" s="127"/>
      <c r="N15" s="160"/>
    </row>
    <row r="16" spans="1:14" ht="15" customHeight="1" x14ac:dyDescent="0.25">
      <c r="A16" s="272"/>
      <c r="B16" s="122"/>
      <c r="C16" s="114" t="s">
        <v>900</v>
      </c>
      <c r="D16" s="280">
        <v>0</v>
      </c>
      <c r="E16" s="280"/>
      <c r="F16" s="280"/>
      <c r="H16" s="173"/>
      <c r="I16" s="2"/>
      <c r="J16" s="2"/>
      <c r="K16" s="2"/>
      <c r="L16" s="2"/>
      <c r="M16" s="127"/>
      <c r="N16" s="160"/>
    </row>
    <row r="17" spans="1:14" ht="15" customHeight="1" x14ac:dyDescent="0.25">
      <c r="A17" s="272"/>
      <c r="B17" s="122"/>
      <c r="C17" s="114" t="s">
        <v>901</v>
      </c>
      <c r="D17" s="280">
        <v>0</v>
      </c>
      <c r="E17" s="280"/>
      <c r="F17" s="280"/>
      <c r="H17" s="173"/>
      <c r="I17" s="2"/>
      <c r="J17" s="2"/>
      <c r="K17" s="2"/>
      <c r="L17" s="2"/>
      <c r="M17" s="2"/>
      <c r="N17" s="159"/>
    </row>
    <row r="18" spans="1:14" ht="15" customHeight="1" x14ac:dyDescent="0.25">
      <c r="A18" s="272"/>
      <c r="B18" s="122"/>
      <c r="C18" s="114" t="s">
        <v>926</v>
      </c>
      <c r="D18" s="261">
        <f>IF(D11='Reference Sheet'!$R$2,0,IF('WZ Analysis (Worksheet)'!G32='WZ Analysis (Worksheet)'!G31,24,IF('WZ Analysis (Worksheet)'!G32&gt;'WZ Analysis (Worksheet)'!G31,'WZ Analysis (Worksheet)'!G32-'WZ Analysis (Worksheet)'!G31,24-('WZ Analysis (Worksheet)'!G31-'WZ Analysis (Worksheet)'!G32))))</f>
        <v>0</v>
      </c>
      <c r="E18" s="261"/>
      <c r="F18" s="261"/>
      <c r="G18" s="172"/>
      <c r="H18" s="173"/>
      <c r="I18" s="2"/>
      <c r="J18" s="2"/>
      <c r="K18" s="2"/>
      <c r="L18" s="2"/>
      <c r="M18" s="2"/>
      <c r="N18" s="159"/>
    </row>
    <row r="19" spans="1:14" ht="6.9" customHeight="1" x14ac:dyDescent="0.25">
      <c r="A19" s="272"/>
      <c r="B19" s="122"/>
      <c r="C19" s="117"/>
      <c r="D19" s="2"/>
      <c r="E19" s="2"/>
      <c r="F19" s="38"/>
      <c r="G19" s="173"/>
      <c r="H19" s="173"/>
      <c r="I19" s="2"/>
      <c r="J19" s="2"/>
      <c r="K19" s="2"/>
      <c r="L19" s="2"/>
      <c r="M19" s="2"/>
      <c r="N19" s="159"/>
    </row>
    <row r="20" spans="1:14" ht="15" customHeight="1" x14ac:dyDescent="0.25">
      <c r="A20" s="272"/>
      <c r="B20" s="122"/>
      <c r="C20" s="164" t="s">
        <v>896</v>
      </c>
      <c r="D20" s="2"/>
      <c r="E20" s="2"/>
      <c r="F20" s="38"/>
      <c r="G20" s="173"/>
      <c r="H20" s="173"/>
      <c r="I20" s="2"/>
      <c r="J20" s="2"/>
      <c r="K20" s="2"/>
      <c r="L20" s="2"/>
      <c r="M20" s="2"/>
      <c r="N20" s="159"/>
    </row>
    <row r="21" spans="1:14" ht="15" customHeight="1" x14ac:dyDescent="0.25">
      <c r="A21" s="272"/>
      <c r="B21" s="122"/>
      <c r="C21" s="114" t="s">
        <v>899</v>
      </c>
      <c r="D21" s="118" t="s">
        <v>895</v>
      </c>
      <c r="E21" s="118" t="s">
        <v>898</v>
      </c>
      <c r="F21" s="119" t="s">
        <v>897</v>
      </c>
      <c r="G21" s="173"/>
      <c r="H21" s="173"/>
      <c r="I21" s="2"/>
      <c r="J21" s="2"/>
      <c r="K21" s="2"/>
      <c r="L21" s="2"/>
      <c r="M21" s="2"/>
      <c r="N21" s="159"/>
    </row>
    <row r="22" spans="1:14" ht="15" customHeight="1" x14ac:dyDescent="0.25">
      <c r="A22" s="272"/>
      <c r="B22" s="122"/>
      <c r="C22" s="114" t="s">
        <v>903</v>
      </c>
      <c r="D22" s="112" t="e">
        <f>'WZ Analysis (Worksheet)'!P46</f>
        <v>#DIV/0!</v>
      </c>
      <c r="E22" s="112" t="e">
        <f>'WZ Analysis (Worksheet)'!AA46</f>
        <v>#DIV/0!</v>
      </c>
      <c r="F22" s="112" t="e">
        <f>'WZ Analysis (Worksheet)'!W46</f>
        <v>#DIV/0!</v>
      </c>
      <c r="G22" s="173"/>
      <c r="H22" s="173"/>
      <c r="I22" s="2"/>
      <c r="J22" s="2"/>
      <c r="K22" s="2"/>
      <c r="L22" s="2"/>
      <c r="M22" s="2"/>
      <c r="N22" s="159"/>
    </row>
    <row r="23" spans="1:14" ht="15" customHeight="1" x14ac:dyDescent="0.25">
      <c r="A23" s="272"/>
      <c r="B23" s="122"/>
      <c r="C23" s="114" t="s">
        <v>904</v>
      </c>
      <c r="D23" s="113" t="e">
        <f>'WZ Analysis (Worksheet)'!Q46</f>
        <v>#DIV/0!</v>
      </c>
      <c r="E23" s="113" t="e">
        <f>'WZ Analysis (Worksheet)'!AB46</f>
        <v>#DIV/0!</v>
      </c>
      <c r="F23" s="113">
        <f>'WZ Analysis (Worksheet)'!X46</f>
        <v>0</v>
      </c>
      <c r="G23" s="173"/>
      <c r="H23" s="173"/>
      <c r="I23" s="2"/>
      <c r="J23" s="2"/>
      <c r="K23" s="2"/>
      <c r="L23" s="2"/>
      <c r="M23" s="2"/>
      <c r="N23" s="159"/>
    </row>
    <row r="24" spans="1:14" ht="15" customHeight="1" x14ac:dyDescent="0.25">
      <c r="A24" s="272"/>
      <c r="B24" s="122"/>
      <c r="C24" s="114" t="s">
        <v>905</v>
      </c>
      <c r="D24" s="115" t="e">
        <f>'WZ Analysis (Worksheet)'!R47</f>
        <v>#DIV/0!</v>
      </c>
      <c r="E24" s="115" t="e">
        <f>'WZ Analysis (Worksheet)'!AD47</f>
        <v>#DIV/0!</v>
      </c>
      <c r="F24" s="115" t="e">
        <f>'WZ Analysis (Worksheet)'!Y47</f>
        <v>#DIV/0!</v>
      </c>
      <c r="G24" s="173"/>
      <c r="H24" s="173"/>
      <c r="I24" s="2"/>
      <c r="J24" s="2"/>
      <c r="K24" s="2"/>
      <c r="L24" s="2"/>
      <c r="M24" s="2"/>
      <c r="N24" s="159"/>
    </row>
    <row r="25" spans="1:14" ht="15" customHeight="1" thickBot="1" x14ac:dyDescent="0.3">
      <c r="A25" s="273"/>
      <c r="B25" s="161"/>
      <c r="C25" s="162"/>
      <c r="D25" s="162"/>
      <c r="E25" s="162"/>
      <c r="F25" s="12"/>
      <c r="G25" s="174"/>
      <c r="H25" s="174"/>
      <c r="I25" s="12"/>
      <c r="J25" s="12"/>
      <c r="K25" s="12"/>
      <c r="L25" s="12"/>
      <c r="M25" s="12"/>
      <c r="N25" s="163"/>
    </row>
    <row r="26" spans="1:14" ht="8.1" customHeight="1" thickBot="1" x14ac:dyDescent="0.3">
      <c r="A26" s="116"/>
      <c r="B26" s="116"/>
      <c r="G26" s="175"/>
      <c r="H26" s="175"/>
      <c r="I26"/>
      <c r="J26"/>
      <c r="K26"/>
      <c r="L26"/>
      <c r="M26"/>
    </row>
    <row r="27" spans="1:14" ht="15" customHeight="1" x14ac:dyDescent="0.3">
      <c r="A27" s="271" t="str">
        <f>CONCATENATE('Step 2 - Facility Data Inputs'!F19," (",TEXT('Step 2 - Facility Data Inputs'!F20,"m/d/yy"),")")</f>
        <v>Monday ()</v>
      </c>
      <c r="B27" s="155"/>
      <c r="C27" s="156"/>
      <c r="D27" s="156"/>
      <c r="E27" s="157"/>
      <c r="F27" s="157"/>
      <c r="G27" s="171"/>
      <c r="H27" s="171"/>
      <c r="I27" s="157"/>
      <c r="J27" s="157"/>
      <c r="K27" s="157"/>
      <c r="L27" s="157"/>
      <c r="M27" s="157"/>
      <c r="N27" s="158"/>
    </row>
    <row r="28" spans="1:14" ht="15" customHeight="1" x14ac:dyDescent="0.25">
      <c r="A28" s="272"/>
      <c r="B28" s="122"/>
      <c r="C28" s="164" t="s">
        <v>906</v>
      </c>
      <c r="D28" s="2"/>
      <c r="E28" s="2"/>
      <c r="F28" s="2"/>
      <c r="G28" s="172"/>
      <c r="H28" s="173"/>
      <c r="I28" s="2"/>
      <c r="J28" s="2"/>
      <c r="K28" s="2"/>
      <c r="L28" s="2"/>
      <c r="M28" s="2"/>
      <c r="N28" s="159"/>
    </row>
    <row r="29" spans="1:14" ht="30" customHeight="1" x14ac:dyDescent="0.25">
      <c r="A29" s="272"/>
      <c r="B29" s="122"/>
      <c r="C29" s="121" t="s">
        <v>945</v>
      </c>
      <c r="D29" s="184">
        <v>1900</v>
      </c>
      <c r="E29" s="283" t="str">
        <f>CONCATENATE("Base Conditions Capacity
(Total for ALL Lanes): ",'WZ Analysis (Worksheet)'!F51, " veh/h")</f>
        <v>Base Conditions Capacity
(Total for ALL Lanes): 0 veh/h</v>
      </c>
      <c r="F29" s="284"/>
      <c r="G29" s="172"/>
      <c r="H29" s="173"/>
      <c r="I29" s="2"/>
      <c r="J29" s="2"/>
      <c r="K29" s="2"/>
      <c r="L29" s="2"/>
      <c r="M29" s="2"/>
      <c r="N29" s="159"/>
    </row>
    <row r="30" spans="1:14" ht="15" customHeight="1" x14ac:dyDescent="0.25">
      <c r="A30" s="272"/>
      <c r="B30" s="122"/>
      <c r="C30" s="2"/>
      <c r="D30" s="125"/>
      <c r="E30" s="2"/>
      <c r="F30" s="2"/>
      <c r="G30" s="172"/>
      <c r="H30" s="173"/>
      <c r="I30" s="2"/>
      <c r="J30" s="2"/>
      <c r="K30" s="2"/>
      <c r="L30" s="2"/>
      <c r="M30" s="2"/>
      <c r="N30" s="159"/>
    </row>
    <row r="31" spans="1:14" ht="15" customHeight="1" x14ac:dyDescent="0.25">
      <c r="A31" s="272"/>
      <c r="B31" s="122"/>
      <c r="C31" s="165" t="s">
        <v>841</v>
      </c>
      <c r="D31" s="125"/>
      <c r="E31" s="2"/>
      <c r="F31" s="2"/>
      <c r="G31" s="172"/>
      <c r="H31" s="173"/>
      <c r="I31" s="2"/>
      <c r="J31" s="2"/>
      <c r="K31" s="2"/>
      <c r="L31" s="2"/>
      <c r="M31" s="2"/>
      <c r="N31" s="159"/>
    </row>
    <row r="32" spans="1:14" ht="30" customHeight="1" x14ac:dyDescent="0.25">
      <c r="A32" s="272"/>
      <c r="B32" s="122"/>
      <c r="C32" s="120" t="s">
        <v>920</v>
      </c>
      <c r="D32" s="285" t="s">
        <v>921</v>
      </c>
      <c r="E32" s="286"/>
      <c r="F32" s="287"/>
      <c r="G32" s="172"/>
      <c r="H32" s="173"/>
      <c r="I32" s="2"/>
      <c r="J32" s="2"/>
      <c r="K32" s="2"/>
      <c r="L32" s="2"/>
      <c r="M32" s="2"/>
      <c r="N32" s="159"/>
    </row>
    <row r="33" spans="1:14" ht="15" customHeight="1" x14ac:dyDescent="0.25">
      <c r="A33" s="272"/>
      <c r="B33" s="122"/>
      <c r="C33" s="120" t="s">
        <v>913</v>
      </c>
      <c r="D33" s="288" t="s">
        <v>886</v>
      </c>
      <c r="E33" s="288"/>
      <c r="F33" s="288"/>
      <c r="G33" s="172"/>
      <c r="H33" s="172"/>
      <c r="I33" s="42"/>
      <c r="J33" s="42"/>
      <c r="K33" s="42"/>
      <c r="L33" s="126"/>
      <c r="M33" s="126"/>
      <c r="N33" s="159"/>
    </row>
    <row r="34" spans="1:14" ht="15" customHeight="1" x14ac:dyDescent="0.25">
      <c r="A34" s="272"/>
      <c r="B34" s="122"/>
      <c r="C34" s="120" t="s">
        <v>914</v>
      </c>
      <c r="D34" s="282" t="s">
        <v>28</v>
      </c>
      <c r="E34" s="282"/>
      <c r="F34" s="282"/>
      <c r="G34" s="172"/>
      <c r="H34" s="172"/>
      <c r="I34" s="42"/>
      <c r="J34" s="42"/>
      <c r="K34" s="42"/>
      <c r="L34" s="2"/>
      <c r="M34" s="2"/>
      <c r="N34" s="159"/>
    </row>
    <row r="35" spans="1:14" ht="15" customHeight="1" x14ac:dyDescent="0.25">
      <c r="A35" s="272"/>
      <c r="B35" s="122"/>
      <c r="C35" s="120" t="s">
        <v>915</v>
      </c>
      <c r="D35" s="282">
        <f>'Step 2 - Facility Data Inputs'!A12</f>
        <v>0</v>
      </c>
      <c r="E35" s="282"/>
      <c r="F35" s="282"/>
      <c r="G35" s="172"/>
      <c r="H35" s="173"/>
      <c r="I35" s="2"/>
      <c r="J35" s="2"/>
      <c r="K35" s="2"/>
      <c r="L35" s="2"/>
      <c r="M35" s="2"/>
      <c r="N35" s="159"/>
    </row>
    <row r="36" spans="1:14" ht="30" customHeight="1" x14ac:dyDescent="0.25">
      <c r="A36" s="272"/>
      <c r="B36" s="122"/>
      <c r="C36" s="121" t="s">
        <v>946</v>
      </c>
      <c r="D36" s="281">
        <f>'WZ Analysis (Worksheet)'!F58</f>
        <v>0</v>
      </c>
      <c r="E36" s="281"/>
      <c r="F36" s="281"/>
      <c r="G36" s="172"/>
      <c r="H36" s="173"/>
      <c r="I36" s="2"/>
      <c r="J36" s="2"/>
      <c r="K36" s="2"/>
      <c r="L36" s="2"/>
      <c r="M36" s="2"/>
      <c r="N36" s="159"/>
    </row>
    <row r="37" spans="1:14" ht="30" customHeight="1" x14ac:dyDescent="0.25">
      <c r="A37" s="272"/>
      <c r="B37" s="122"/>
      <c r="C37" s="121" t="s">
        <v>947</v>
      </c>
      <c r="D37" s="124"/>
      <c r="E37" s="177"/>
      <c r="F37" s="123"/>
      <c r="G37" s="172"/>
      <c r="H37" s="173"/>
      <c r="I37" s="2"/>
      <c r="J37" s="2"/>
      <c r="K37" s="2"/>
      <c r="L37" s="2"/>
      <c r="M37" s="127"/>
      <c r="N37" s="160"/>
    </row>
    <row r="38" spans="1:14" ht="15" customHeight="1" x14ac:dyDescent="0.25">
      <c r="A38" s="272"/>
      <c r="B38" s="122"/>
      <c r="C38" s="114" t="s">
        <v>900</v>
      </c>
      <c r="D38" s="280">
        <v>0</v>
      </c>
      <c r="E38" s="280"/>
      <c r="F38" s="280"/>
      <c r="H38" s="173"/>
      <c r="I38" s="2"/>
      <c r="J38" s="2"/>
      <c r="K38" s="2"/>
      <c r="L38" s="2"/>
      <c r="M38" s="127"/>
      <c r="N38" s="160"/>
    </row>
    <row r="39" spans="1:14" ht="15" customHeight="1" x14ac:dyDescent="0.25">
      <c r="A39" s="272"/>
      <c r="B39" s="122"/>
      <c r="C39" s="114" t="s">
        <v>901</v>
      </c>
      <c r="D39" s="280">
        <v>0</v>
      </c>
      <c r="E39" s="280"/>
      <c r="F39" s="280"/>
      <c r="H39" s="173"/>
      <c r="I39" s="2"/>
      <c r="J39" s="2"/>
      <c r="K39" s="2"/>
      <c r="L39" s="2"/>
      <c r="M39" s="2"/>
      <c r="N39" s="159"/>
    </row>
    <row r="40" spans="1:14" ht="15" customHeight="1" x14ac:dyDescent="0.25">
      <c r="A40" s="272"/>
      <c r="B40" s="122"/>
      <c r="C40" s="114" t="s">
        <v>926</v>
      </c>
      <c r="D40" s="261">
        <f>IF(D33='Reference Sheet'!$R$2,0,IF('WZ Analysis (Worksheet)'!G61='WZ Analysis (Worksheet)'!G60,24,IF('WZ Analysis (Worksheet)'!G61&gt;'WZ Analysis (Worksheet)'!G60,'WZ Analysis (Worksheet)'!G61-'WZ Analysis (Worksheet)'!G60,24-('WZ Analysis (Worksheet)'!G60-'WZ Analysis (Worksheet)'!G61))))</f>
        <v>0</v>
      </c>
      <c r="E40" s="261"/>
      <c r="F40" s="261"/>
      <c r="G40" s="172"/>
      <c r="H40" s="173"/>
      <c r="I40" s="2"/>
      <c r="J40" s="2"/>
      <c r="K40" s="2"/>
      <c r="L40" s="2"/>
      <c r="M40" s="2"/>
      <c r="N40" s="159"/>
    </row>
    <row r="41" spans="1:14" ht="15" customHeight="1" x14ac:dyDescent="0.25">
      <c r="A41" s="272"/>
      <c r="B41" s="122"/>
      <c r="C41" s="117"/>
      <c r="D41" s="2"/>
      <c r="E41" s="2"/>
      <c r="F41" s="38"/>
      <c r="G41" s="173"/>
      <c r="H41" s="173"/>
      <c r="I41" s="2"/>
      <c r="J41" s="2"/>
      <c r="K41" s="2"/>
      <c r="L41" s="2"/>
      <c r="M41" s="2"/>
      <c r="N41" s="159"/>
    </row>
    <row r="42" spans="1:14" ht="15" customHeight="1" x14ac:dyDescent="0.25">
      <c r="A42" s="272"/>
      <c r="B42" s="122"/>
      <c r="C42" s="164" t="s">
        <v>896</v>
      </c>
      <c r="D42" s="2"/>
      <c r="E42" s="2"/>
      <c r="F42" s="38"/>
      <c r="G42" s="173"/>
      <c r="H42" s="173"/>
      <c r="I42" s="2"/>
      <c r="J42" s="2"/>
      <c r="K42" s="2"/>
      <c r="L42" s="2"/>
      <c r="M42" s="2"/>
      <c r="N42" s="159"/>
    </row>
    <row r="43" spans="1:14" ht="15" customHeight="1" x14ac:dyDescent="0.25">
      <c r="A43" s="272"/>
      <c r="B43" s="122"/>
      <c r="C43" s="114" t="s">
        <v>899</v>
      </c>
      <c r="D43" s="118" t="s">
        <v>895</v>
      </c>
      <c r="E43" s="118" t="s">
        <v>898</v>
      </c>
      <c r="F43" s="119" t="s">
        <v>897</v>
      </c>
      <c r="G43" s="173"/>
      <c r="H43" s="173"/>
      <c r="I43" s="2"/>
      <c r="J43" s="2"/>
      <c r="K43" s="2"/>
      <c r="L43" s="2"/>
      <c r="M43" s="2"/>
      <c r="N43" s="159"/>
    </row>
    <row r="44" spans="1:14" ht="15" customHeight="1" x14ac:dyDescent="0.25">
      <c r="A44" s="272"/>
      <c r="B44" s="122"/>
      <c r="C44" s="114" t="s">
        <v>903</v>
      </c>
      <c r="D44" s="112" t="e">
        <f>'WZ Analysis (Worksheet)'!P75</f>
        <v>#DIV/0!</v>
      </c>
      <c r="E44" s="112" t="e">
        <f>'WZ Analysis (Worksheet)'!AA75</f>
        <v>#DIV/0!</v>
      </c>
      <c r="F44" s="112" t="e">
        <f>'WZ Analysis (Worksheet)'!W75</f>
        <v>#DIV/0!</v>
      </c>
      <c r="G44" s="173"/>
      <c r="H44" s="173"/>
      <c r="I44" s="2"/>
      <c r="J44" s="2"/>
      <c r="K44" s="2"/>
      <c r="L44" s="2"/>
      <c r="M44" s="2"/>
      <c r="N44" s="159"/>
    </row>
    <row r="45" spans="1:14" ht="15" customHeight="1" x14ac:dyDescent="0.25">
      <c r="A45" s="272"/>
      <c r="B45" s="122"/>
      <c r="C45" s="114" t="s">
        <v>904</v>
      </c>
      <c r="D45" s="113" t="e">
        <f>'WZ Analysis (Worksheet)'!Q75</f>
        <v>#DIV/0!</v>
      </c>
      <c r="E45" s="113" t="e">
        <f>'WZ Analysis (Worksheet)'!AB75</f>
        <v>#DIV/0!</v>
      </c>
      <c r="F45" s="113">
        <f>'WZ Analysis (Worksheet)'!X75</f>
        <v>0</v>
      </c>
      <c r="G45" s="173"/>
      <c r="H45" s="173"/>
      <c r="I45" s="2"/>
      <c r="J45" s="2"/>
      <c r="K45" s="2"/>
      <c r="L45" s="2"/>
      <c r="M45" s="2"/>
      <c r="N45" s="159"/>
    </row>
    <row r="46" spans="1:14" ht="15" customHeight="1" x14ac:dyDescent="0.25">
      <c r="A46" s="272"/>
      <c r="B46" s="122"/>
      <c r="C46" s="114" t="s">
        <v>905</v>
      </c>
      <c r="D46" s="115" t="e">
        <f>'WZ Analysis (Worksheet)'!R76</f>
        <v>#DIV/0!</v>
      </c>
      <c r="E46" s="115" t="e">
        <f>'WZ Analysis (Worksheet)'!AD76</f>
        <v>#DIV/0!</v>
      </c>
      <c r="F46" s="115" t="e">
        <f>'WZ Analysis (Worksheet)'!Y76</f>
        <v>#DIV/0!</v>
      </c>
      <c r="G46" s="173"/>
      <c r="H46" s="173"/>
      <c r="I46" s="2"/>
      <c r="J46" s="2"/>
      <c r="K46" s="2"/>
      <c r="L46" s="2"/>
      <c r="M46" s="2"/>
      <c r="N46" s="159"/>
    </row>
    <row r="47" spans="1:14" ht="15" customHeight="1" thickBot="1" x14ac:dyDescent="0.3">
      <c r="A47" s="273"/>
      <c r="B47" s="161"/>
      <c r="C47" s="162"/>
      <c r="D47" s="162"/>
      <c r="E47" s="162"/>
      <c r="F47" s="12"/>
      <c r="G47" s="174"/>
      <c r="H47" s="174"/>
      <c r="I47" s="12"/>
      <c r="J47" s="12"/>
      <c r="K47" s="12"/>
      <c r="L47" s="12"/>
      <c r="M47" s="12"/>
      <c r="N47" s="163"/>
    </row>
    <row r="48" spans="1:14" ht="8.1" customHeight="1" thickBot="1" x14ac:dyDescent="0.3"/>
    <row r="49" spans="1:14" ht="15.6" x14ac:dyDescent="0.3">
      <c r="A49" s="271" t="str">
        <f>CONCATENATE('Step 2 - Facility Data Inputs'!G19," (",TEXT('Step 2 - Facility Data Inputs'!G20,"m/d/yy"),")")</f>
        <v>Tuesday ()</v>
      </c>
      <c r="B49" s="155"/>
      <c r="C49" s="156"/>
      <c r="D49" s="156"/>
      <c r="E49" s="157"/>
      <c r="F49" s="157"/>
      <c r="G49" s="171"/>
      <c r="H49" s="171"/>
      <c r="I49" s="157"/>
      <c r="J49" s="157"/>
      <c r="K49" s="157"/>
      <c r="L49" s="157"/>
      <c r="M49" s="157"/>
      <c r="N49" s="158"/>
    </row>
    <row r="50" spans="1:14" ht="13.8" x14ac:dyDescent="0.25">
      <c r="A50" s="272"/>
      <c r="B50" s="122"/>
      <c r="C50" s="164" t="s">
        <v>906</v>
      </c>
      <c r="D50" s="2"/>
      <c r="E50" s="2"/>
      <c r="F50" s="2"/>
      <c r="G50" s="172"/>
      <c r="H50" s="173"/>
      <c r="I50" s="2"/>
      <c r="J50" s="2"/>
      <c r="K50" s="2"/>
      <c r="L50" s="2"/>
      <c r="M50" s="2"/>
      <c r="N50" s="159"/>
    </row>
    <row r="51" spans="1:14" ht="26.4" x14ac:dyDescent="0.25">
      <c r="A51" s="272"/>
      <c r="B51" s="122"/>
      <c r="C51" s="121" t="s">
        <v>945</v>
      </c>
      <c r="D51" s="184">
        <v>1900</v>
      </c>
      <c r="E51" s="283" t="str">
        <f>CONCATENATE("Base Conditions Capacity
(Total for ALL Lanes): ",'WZ Analysis (Worksheet)'!F80, " veh/h")</f>
        <v>Base Conditions Capacity
(Total for ALL Lanes): 0 veh/h</v>
      </c>
      <c r="F51" s="284"/>
      <c r="G51" s="172"/>
      <c r="H51" s="173"/>
      <c r="I51" s="2"/>
      <c r="J51" s="2"/>
      <c r="K51" s="2"/>
      <c r="L51" s="2"/>
      <c r="M51" s="2"/>
      <c r="N51" s="159"/>
    </row>
    <row r="52" spans="1:14" x14ac:dyDescent="0.25">
      <c r="A52" s="272"/>
      <c r="B52" s="122"/>
      <c r="C52" s="2"/>
      <c r="D52" s="125"/>
      <c r="E52" s="2"/>
      <c r="F52" s="2"/>
      <c r="G52" s="172"/>
      <c r="H52" s="173"/>
      <c r="I52" s="2"/>
      <c r="J52" s="2"/>
      <c r="K52" s="2"/>
      <c r="L52" s="2"/>
      <c r="M52" s="2"/>
      <c r="N52" s="159"/>
    </row>
    <row r="53" spans="1:14" ht="13.8" x14ac:dyDescent="0.25">
      <c r="A53" s="272"/>
      <c r="B53" s="122"/>
      <c r="C53" s="165" t="s">
        <v>841</v>
      </c>
      <c r="D53" s="125"/>
      <c r="E53" s="2"/>
      <c r="F53" s="2"/>
      <c r="G53" s="172"/>
      <c r="H53" s="173"/>
      <c r="I53" s="2"/>
      <c r="J53" s="2"/>
      <c r="K53" s="2"/>
      <c r="L53" s="2"/>
      <c r="M53" s="2"/>
      <c r="N53" s="159"/>
    </row>
    <row r="54" spans="1:14" ht="30" customHeight="1" x14ac:dyDescent="0.25">
      <c r="A54" s="272"/>
      <c r="B54" s="122"/>
      <c r="C54" s="120" t="s">
        <v>920</v>
      </c>
      <c r="D54" s="285" t="s">
        <v>921</v>
      </c>
      <c r="E54" s="286"/>
      <c r="F54" s="287"/>
      <c r="G54" s="172"/>
      <c r="H54" s="173"/>
      <c r="I54" s="2"/>
      <c r="J54" s="2"/>
      <c r="K54" s="2"/>
      <c r="L54" s="2"/>
      <c r="M54" s="2"/>
      <c r="N54" s="159"/>
    </row>
    <row r="55" spans="1:14" x14ac:dyDescent="0.25">
      <c r="A55" s="272"/>
      <c r="B55" s="122"/>
      <c r="C55" s="120" t="s">
        <v>913</v>
      </c>
      <c r="D55" s="288" t="s">
        <v>886</v>
      </c>
      <c r="E55" s="288"/>
      <c r="F55" s="288"/>
      <c r="G55" s="172"/>
      <c r="H55" s="172"/>
      <c r="I55" s="42"/>
      <c r="J55" s="42"/>
      <c r="K55" s="42"/>
      <c r="L55" s="126"/>
      <c r="M55" s="126"/>
      <c r="N55" s="159"/>
    </row>
    <row r="56" spans="1:14" x14ac:dyDescent="0.25">
      <c r="A56" s="272"/>
      <c r="B56" s="122"/>
      <c r="C56" s="120" t="s">
        <v>914</v>
      </c>
      <c r="D56" s="282" t="s">
        <v>28</v>
      </c>
      <c r="E56" s="282"/>
      <c r="F56" s="282"/>
      <c r="G56" s="172"/>
      <c r="H56" s="172"/>
      <c r="I56" s="42"/>
      <c r="J56" s="42"/>
      <c r="K56" s="42"/>
      <c r="L56" s="2"/>
      <c r="M56" s="2"/>
      <c r="N56" s="159"/>
    </row>
    <row r="57" spans="1:14" x14ac:dyDescent="0.25">
      <c r="A57" s="272"/>
      <c r="B57" s="122"/>
      <c r="C57" s="120" t="s">
        <v>915</v>
      </c>
      <c r="D57" s="282">
        <f>'Step 2 - Facility Data Inputs'!A12</f>
        <v>0</v>
      </c>
      <c r="E57" s="282"/>
      <c r="F57" s="282"/>
      <c r="G57" s="172"/>
      <c r="H57" s="173"/>
      <c r="I57" s="2"/>
      <c r="J57" s="2"/>
      <c r="K57" s="2"/>
      <c r="L57" s="2"/>
      <c r="M57" s="2"/>
      <c r="N57" s="159"/>
    </row>
    <row r="58" spans="1:14" ht="26.4" x14ac:dyDescent="0.25">
      <c r="A58" s="272"/>
      <c r="B58" s="122"/>
      <c r="C58" s="121" t="s">
        <v>946</v>
      </c>
      <c r="D58" s="281">
        <f>'WZ Analysis (Worksheet)'!F87</f>
        <v>0</v>
      </c>
      <c r="E58" s="281"/>
      <c r="F58" s="281"/>
      <c r="G58" s="172"/>
      <c r="H58" s="173"/>
      <c r="I58" s="2"/>
      <c r="J58" s="2"/>
      <c r="K58" s="2"/>
      <c r="L58" s="2"/>
      <c r="M58" s="2"/>
      <c r="N58" s="159"/>
    </row>
    <row r="59" spans="1:14" ht="26.4" x14ac:dyDescent="0.25">
      <c r="A59" s="272"/>
      <c r="B59" s="122"/>
      <c r="C59" s="121" t="s">
        <v>947</v>
      </c>
      <c r="D59" s="124"/>
      <c r="E59" s="177"/>
      <c r="F59" s="123"/>
      <c r="G59" s="172"/>
      <c r="H59" s="173"/>
      <c r="I59" s="2"/>
      <c r="J59" s="2"/>
      <c r="K59" s="2"/>
      <c r="L59" s="2"/>
      <c r="M59" s="127"/>
      <c r="N59" s="160"/>
    </row>
    <row r="60" spans="1:14" x14ac:dyDescent="0.25">
      <c r="A60" s="272"/>
      <c r="B60" s="122"/>
      <c r="C60" s="114" t="s">
        <v>900</v>
      </c>
      <c r="D60" s="280">
        <v>0</v>
      </c>
      <c r="E60" s="280"/>
      <c r="F60" s="280"/>
      <c r="H60" s="173"/>
      <c r="I60" s="2"/>
      <c r="J60" s="2"/>
      <c r="K60" s="2"/>
      <c r="L60" s="2"/>
      <c r="M60" s="127"/>
      <c r="N60" s="160"/>
    </row>
    <row r="61" spans="1:14" x14ac:dyDescent="0.25">
      <c r="A61" s="272"/>
      <c r="B61" s="122"/>
      <c r="C61" s="114" t="s">
        <v>901</v>
      </c>
      <c r="D61" s="280">
        <v>0</v>
      </c>
      <c r="E61" s="280"/>
      <c r="F61" s="280"/>
      <c r="H61" s="173"/>
      <c r="I61" s="2"/>
      <c r="J61" s="2"/>
      <c r="K61" s="2"/>
      <c r="L61" s="2"/>
      <c r="M61" s="2"/>
      <c r="N61" s="159"/>
    </row>
    <row r="62" spans="1:14" x14ac:dyDescent="0.25">
      <c r="A62" s="272"/>
      <c r="B62" s="122"/>
      <c r="C62" s="114" t="s">
        <v>926</v>
      </c>
      <c r="D62" s="261">
        <f>IF(D55='Reference Sheet'!$R$2,0,IF('WZ Analysis (Worksheet)'!G89='WZ Analysis (Worksheet)'!G90,24,IF('WZ Analysis (Worksheet)'!G90&gt;'WZ Analysis (Worksheet)'!G89,'WZ Analysis (Worksheet)'!G90-'WZ Analysis (Worksheet)'!G89,24-('WZ Analysis (Worksheet)'!G89-'WZ Analysis (Worksheet)'!G90))))</f>
        <v>0</v>
      </c>
      <c r="E62" s="261"/>
      <c r="F62" s="261"/>
      <c r="G62" s="172"/>
      <c r="H62" s="173"/>
      <c r="I62" s="2"/>
      <c r="J62" s="2"/>
      <c r="K62" s="2"/>
      <c r="L62" s="2"/>
      <c r="M62" s="2"/>
      <c r="N62" s="159"/>
    </row>
    <row r="63" spans="1:14" x14ac:dyDescent="0.25">
      <c r="A63" s="272"/>
      <c r="B63" s="122"/>
      <c r="C63" s="117"/>
      <c r="D63" s="2"/>
      <c r="E63" s="2"/>
      <c r="F63" s="38"/>
      <c r="G63" s="173"/>
      <c r="H63" s="173"/>
      <c r="I63" s="2"/>
      <c r="J63" s="2"/>
      <c r="K63" s="2"/>
      <c r="L63" s="2"/>
      <c r="M63" s="2"/>
      <c r="N63" s="159"/>
    </row>
    <row r="64" spans="1:14" ht="13.8" x14ac:dyDescent="0.25">
      <c r="A64" s="272"/>
      <c r="B64" s="122"/>
      <c r="C64" s="164" t="s">
        <v>896</v>
      </c>
      <c r="D64" s="2"/>
      <c r="E64" s="2"/>
      <c r="F64" s="38"/>
      <c r="G64" s="173"/>
      <c r="H64" s="173"/>
      <c r="I64" s="2"/>
      <c r="J64" s="2"/>
      <c r="K64" s="2"/>
      <c r="L64" s="2"/>
      <c r="M64" s="2"/>
      <c r="N64" s="159"/>
    </row>
    <row r="65" spans="1:14" x14ac:dyDescent="0.25">
      <c r="A65" s="272"/>
      <c r="B65" s="122"/>
      <c r="C65" s="114" t="s">
        <v>899</v>
      </c>
      <c r="D65" s="118" t="s">
        <v>895</v>
      </c>
      <c r="E65" s="118" t="s">
        <v>898</v>
      </c>
      <c r="F65" s="119" t="s">
        <v>897</v>
      </c>
      <c r="G65" s="173"/>
      <c r="H65" s="173"/>
      <c r="I65" s="2"/>
      <c r="J65" s="2"/>
      <c r="K65" s="2"/>
      <c r="L65" s="2"/>
      <c r="M65" s="2"/>
      <c r="N65" s="159"/>
    </row>
    <row r="66" spans="1:14" x14ac:dyDescent="0.25">
      <c r="A66" s="272"/>
      <c r="B66" s="122"/>
      <c r="C66" s="114" t="s">
        <v>903</v>
      </c>
      <c r="D66" s="112" t="e">
        <f>'WZ Analysis (Worksheet)'!D95</f>
        <v>#DIV/0!</v>
      </c>
      <c r="E66" s="112" t="e">
        <f>'WZ Analysis (Worksheet)'!E95</f>
        <v>#DIV/0!</v>
      </c>
      <c r="F66" s="112" t="e">
        <f>'WZ Analysis (Worksheet)'!F95</f>
        <v>#DIV/0!</v>
      </c>
      <c r="G66" s="173"/>
      <c r="H66" s="173"/>
      <c r="I66" s="2"/>
      <c r="J66" s="2"/>
      <c r="K66" s="2"/>
      <c r="L66" s="2"/>
      <c r="M66" s="2"/>
      <c r="N66" s="159"/>
    </row>
    <row r="67" spans="1:14" x14ac:dyDescent="0.25">
      <c r="A67" s="272"/>
      <c r="B67" s="122"/>
      <c r="C67" s="114" t="s">
        <v>904</v>
      </c>
      <c r="D67" s="113" t="e">
        <f>'WZ Analysis (Worksheet)'!D96</f>
        <v>#DIV/0!</v>
      </c>
      <c r="E67" s="113" t="e">
        <f>'WZ Analysis (Worksheet)'!E96</f>
        <v>#DIV/0!</v>
      </c>
      <c r="F67" s="113">
        <f>'WZ Analysis (Worksheet)'!F96</f>
        <v>0</v>
      </c>
      <c r="G67" s="173"/>
      <c r="H67" s="173"/>
      <c r="I67" s="2"/>
      <c r="J67" s="2"/>
      <c r="K67" s="2"/>
      <c r="L67" s="2"/>
      <c r="M67" s="2"/>
      <c r="N67" s="159"/>
    </row>
    <row r="68" spans="1:14" x14ac:dyDescent="0.25">
      <c r="A68" s="272"/>
      <c r="B68" s="122"/>
      <c r="C68" s="114" t="s">
        <v>905</v>
      </c>
      <c r="D68" s="115" t="e">
        <f>'WZ Analysis (Worksheet)'!D97</f>
        <v>#DIV/0!</v>
      </c>
      <c r="E68" s="115" t="e">
        <f>'WZ Analysis (Worksheet)'!E97</f>
        <v>#DIV/0!</v>
      </c>
      <c r="F68" s="115" t="e">
        <f>'WZ Analysis (Worksheet)'!F97</f>
        <v>#DIV/0!</v>
      </c>
      <c r="G68" s="173"/>
      <c r="H68" s="173"/>
      <c r="I68" s="2"/>
      <c r="J68" s="2"/>
      <c r="K68" s="2"/>
      <c r="L68" s="2"/>
      <c r="M68" s="2"/>
      <c r="N68" s="159"/>
    </row>
    <row r="69" spans="1:14" ht="13.8" thickBot="1" x14ac:dyDescent="0.3">
      <c r="A69" s="273"/>
      <c r="B69" s="161"/>
      <c r="C69" s="162"/>
      <c r="D69" s="162"/>
      <c r="E69" s="162"/>
      <c r="F69" s="12"/>
      <c r="G69" s="174"/>
      <c r="H69" s="174"/>
      <c r="I69" s="12"/>
      <c r="J69" s="12"/>
      <c r="K69" s="12"/>
      <c r="L69" s="12"/>
      <c r="M69" s="12"/>
      <c r="N69" s="163"/>
    </row>
    <row r="70" spans="1:14" ht="8.1" customHeight="1" thickBot="1" x14ac:dyDescent="0.3"/>
    <row r="71" spans="1:14" ht="15.6" x14ac:dyDescent="0.3">
      <c r="A71" s="271" t="str">
        <f>CONCATENATE('Step 2 - Facility Data Inputs'!H19," (",TEXT('Step 2 - Facility Data Inputs'!H20,"m/d/yy"),")")</f>
        <v>Wednesday ()</v>
      </c>
      <c r="B71" s="155"/>
      <c r="C71" s="156"/>
      <c r="D71" s="156"/>
      <c r="E71" s="157"/>
      <c r="F71" s="157"/>
      <c r="G71" s="171"/>
      <c r="H71" s="171"/>
      <c r="I71" s="157"/>
      <c r="J71" s="157"/>
      <c r="K71" s="157"/>
      <c r="L71" s="157"/>
      <c r="M71" s="157"/>
      <c r="N71" s="158"/>
    </row>
    <row r="72" spans="1:14" ht="13.8" x14ac:dyDescent="0.25">
      <c r="A72" s="272"/>
      <c r="B72" s="122"/>
      <c r="C72" s="164" t="s">
        <v>906</v>
      </c>
      <c r="D72" s="2"/>
      <c r="E72" s="2"/>
      <c r="F72" s="2"/>
      <c r="G72" s="172"/>
      <c r="H72" s="173"/>
      <c r="I72" s="2"/>
      <c r="J72" s="2"/>
      <c r="K72" s="2"/>
      <c r="L72" s="2"/>
      <c r="M72" s="2"/>
      <c r="N72" s="159"/>
    </row>
    <row r="73" spans="1:14" ht="26.4" x14ac:dyDescent="0.25">
      <c r="A73" s="272"/>
      <c r="B73" s="122"/>
      <c r="C73" s="121" t="s">
        <v>945</v>
      </c>
      <c r="D73" s="184">
        <v>1900</v>
      </c>
      <c r="E73" s="283" t="str">
        <f>CONCATENATE("Base Conditions Capacity
(Total for ALL Lanes): ",'WZ Analysis (Worksheet)'!F109, " veh/h")</f>
        <v>Base Conditions Capacity
(Total for ALL Lanes): 0 veh/h</v>
      </c>
      <c r="F73" s="284"/>
      <c r="G73" s="172"/>
      <c r="H73" s="173"/>
      <c r="I73" s="2"/>
      <c r="J73" s="2"/>
      <c r="K73" s="2"/>
      <c r="L73" s="2"/>
      <c r="M73" s="2"/>
      <c r="N73" s="159"/>
    </row>
    <row r="74" spans="1:14" x14ac:dyDescent="0.25">
      <c r="A74" s="272"/>
      <c r="B74" s="122"/>
      <c r="C74" s="2"/>
      <c r="D74" s="125"/>
      <c r="E74" s="2"/>
      <c r="F74" s="2"/>
      <c r="G74" s="172"/>
      <c r="H74" s="173"/>
      <c r="I74" s="2"/>
      <c r="J74" s="2"/>
      <c r="K74" s="2"/>
      <c r="L74" s="2"/>
      <c r="M74" s="2"/>
      <c r="N74" s="159"/>
    </row>
    <row r="75" spans="1:14" ht="13.8" x14ac:dyDescent="0.25">
      <c r="A75" s="272"/>
      <c r="B75" s="122"/>
      <c r="C75" s="165" t="s">
        <v>841</v>
      </c>
      <c r="D75" s="125"/>
      <c r="E75" s="2"/>
      <c r="F75" s="2"/>
      <c r="G75" s="172"/>
      <c r="H75" s="173"/>
      <c r="I75" s="2"/>
      <c r="J75" s="2"/>
      <c r="K75" s="2"/>
      <c r="L75" s="2"/>
      <c r="M75" s="2"/>
      <c r="N75" s="159"/>
    </row>
    <row r="76" spans="1:14" ht="30" customHeight="1" x14ac:dyDescent="0.25">
      <c r="A76" s="272"/>
      <c r="B76" s="122"/>
      <c r="C76" s="120" t="s">
        <v>920</v>
      </c>
      <c r="D76" s="285" t="s">
        <v>921</v>
      </c>
      <c r="E76" s="286"/>
      <c r="F76" s="287"/>
      <c r="G76" s="172"/>
      <c r="H76" s="173"/>
      <c r="I76" s="2"/>
      <c r="J76" s="2"/>
      <c r="K76" s="2"/>
      <c r="L76" s="2"/>
      <c r="M76" s="2"/>
      <c r="N76" s="159"/>
    </row>
    <row r="77" spans="1:14" x14ac:dyDescent="0.25">
      <c r="A77" s="272"/>
      <c r="B77" s="122"/>
      <c r="C77" s="120" t="s">
        <v>913</v>
      </c>
      <c r="D77" s="288" t="s">
        <v>886</v>
      </c>
      <c r="E77" s="288"/>
      <c r="F77" s="288"/>
      <c r="G77" s="172"/>
      <c r="H77" s="172"/>
      <c r="I77" s="42"/>
      <c r="J77" s="42"/>
      <c r="K77" s="42"/>
      <c r="L77" s="126"/>
      <c r="M77" s="126"/>
      <c r="N77" s="159"/>
    </row>
    <row r="78" spans="1:14" x14ac:dyDescent="0.25">
      <c r="A78" s="272"/>
      <c r="B78" s="122"/>
      <c r="C78" s="120" t="s">
        <v>914</v>
      </c>
      <c r="D78" s="282" t="s">
        <v>28</v>
      </c>
      <c r="E78" s="282"/>
      <c r="F78" s="282"/>
      <c r="G78" s="172"/>
      <c r="H78" s="172"/>
      <c r="I78" s="42"/>
      <c r="J78" s="42"/>
      <c r="K78" s="42"/>
      <c r="L78" s="2"/>
      <c r="M78" s="2"/>
      <c r="N78" s="159"/>
    </row>
    <row r="79" spans="1:14" x14ac:dyDescent="0.25">
      <c r="A79" s="272"/>
      <c r="B79" s="122"/>
      <c r="C79" s="120" t="s">
        <v>915</v>
      </c>
      <c r="D79" s="282">
        <f>'Step 2 - Facility Data Inputs'!A12</f>
        <v>0</v>
      </c>
      <c r="E79" s="282"/>
      <c r="F79" s="282"/>
      <c r="G79" s="172"/>
      <c r="H79" s="173"/>
      <c r="I79" s="2"/>
      <c r="J79" s="2"/>
      <c r="K79" s="2"/>
      <c r="L79" s="2"/>
      <c r="M79" s="2"/>
      <c r="N79" s="159"/>
    </row>
    <row r="80" spans="1:14" ht="26.4" x14ac:dyDescent="0.25">
      <c r="A80" s="272"/>
      <c r="B80" s="122"/>
      <c r="C80" s="121" t="s">
        <v>946</v>
      </c>
      <c r="D80" s="281">
        <f>'WZ Analysis (Worksheet)'!F116</f>
        <v>0</v>
      </c>
      <c r="E80" s="281"/>
      <c r="F80" s="281"/>
      <c r="G80" s="172"/>
      <c r="H80" s="173"/>
      <c r="I80" s="2"/>
      <c r="J80" s="2"/>
      <c r="K80" s="2"/>
      <c r="L80" s="2"/>
      <c r="M80" s="2"/>
      <c r="N80" s="159"/>
    </row>
    <row r="81" spans="1:14" ht="26.4" x14ac:dyDescent="0.25">
      <c r="A81" s="272"/>
      <c r="B81" s="122"/>
      <c r="C81" s="121" t="s">
        <v>947</v>
      </c>
      <c r="D81" s="124"/>
      <c r="E81" s="177"/>
      <c r="F81" s="123"/>
      <c r="G81" s="172"/>
      <c r="H81" s="173"/>
      <c r="I81" s="2"/>
      <c r="J81" s="2"/>
      <c r="K81" s="2"/>
      <c r="L81" s="2"/>
      <c r="M81" s="127"/>
      <c r="N81" s="160"/>
    </row>
    <row r="82" spans="1:14" x14ac:dyDescent="0.25">
      <c r="A82" s="272"/>
      <c r="B82" s="122"/>
      <c r="C82" s="114" t="s">
        <v>900</v>
      </c>
      <c r="D82" s="280">
        <v>0.16666666666666699</v>
      </c>
      <c r="E82" s="280"/>
      <c r="F82" s="280"/>
      <c r="H82" s="173"/>
      <c r="I82" s="2"/>
      <c r="J82" s="2"/>
      <c r="K82" s="2"/>
      <c r="L82" s="2"/>
      <c r="M82" s="127"/>
      <c r="N82" s="160"/>
    </row>
    <row r="83" spans="1:14" x14ac:dyDescent="0.25">
      <c r="A83" s="272"/>
      <c r="B83" s="122"/>
      <c r="C83" s="114" t="s">
        <v>901</v>
      </c>
      <c r="D83" s="280">
        <v>0.29166666666666702</v>
      </c>
      <c r="E83" s="280"/>
      <c r="F83" s="280"/>
      <c r="H83" s="173"/>
      <c r="I83" s="2"/>
      <c r="J83" s="2"/>
      <c r="K83" s="2"/>
      <c r="L83" s="2"/>
      <c r="M83" s="2"/>
      <c r="N83" s="159"/>
    </row>
    <row r="84" spans="1:14" x14ac:dyDescent="0.25">
      <c r="A84" s="272"/>
      <c r="B84" s="122"/>
      <c r="C84" s="114" t="s">
        <v>926</v>
      </c>
      <c r="D84" s="261">
        <f>IF(D77='Reference Sheet'!$R$2,0,IF('WZ Analysis (Worksheet)'!G118='WZ Analysis (Worksheet)'!G119,24,IF('WZ Analysis (Worksheet)'!G119&gt;'WZ Analysis (Worksheet)'!G118,'WZ Analysis (Worksheet)'!G119-'WZ Analysis (Worksheet)'!G118,24-('WZ Analysis (Worksheet)'!G118-'WZ Analysis (Worksheet)'!G119))))</f>
        <v>0</v>
      </c>
      <c r="E84" s="261"/>
      <c r="F84" s="261"/>
      <c r="G84" s="172"/>
      <c r="H84" s="173"/>
      <c r="I84" s="2"/>
      <c r="J84" s="2"/>
      <c r="K84" s="2"/>
      <c r="L84" s="2"/>
      <c r="M84" s="2"/>
      <c r="N84" s="159"/>
    </row>
    <row r="85" spans="1:14" x14ac:dyDescent="0.25">
      <c r="A85" s="272"/>
      <c r="B85" s="122"/>
      <c r="C85" s="117"/>
      <c r="D85" s="2"/>
      <c r="E85" s="2"/>
      <c r="F85" s="38"/>
      <c r="G85" s="173"/>
      <c r="H85" s="173"/>
      <c r="I85" s="2"/>
      <c r="J85" s="2"/>
      <c r="K85" s="2"/>
      <c r="L85" s="2"/>
      <c r="M85" s="2"/>
      <c r="N85" s="159"/>
    </row>
    <row r="86" spans="1:14" ht="13.8" x14ac:dyDescent="0.25">
      <c r="A86" s="272"/>
      <c r="B86" s="122"/>
      <c r="C86" s="164" t="s">
        <v>896</v>
      </c>
      <c r="D86" s="2"/>
      <c r="E86" s="2"/>
      <c r="F86" s="38"/>
      <c r="G86" s="173"/>
      <c r="H86" s="173"/>
      <c r="I86" s="2"/>
      <c r="J86" s="2"/>
      <c r="K86" s="2"/>
      <c r="L86" s="2"/>
      <c r="M86" s="2"/>
      <c r="N86" s="159"/>
    </row>
    <row r="87" spans="1:14" x14ac:dyDescent="0.25">
      <c r="A87" s="272"/>
      <c r="B87" s="122"/>
      <c r="C87" s="114" t="s">
        <v>899</v>
      </c>
      <c r="D87" s="118" t="s">
        <v>895</v>
      </c>
      <c r="E87" s="118" t="s">
        <v>898</v>
      </c>
      <c r="F87" s="119" t="s">
        <v>897</v>
      </c>
      <c r="G87" s="173"/>
      <c r="H87" s="173"/>
      <c r="I87" s="2"/>
      <c r="J87" s="2"/>
      <c r="K87" s="2"/>
      <c r="L87" s="2"/>
      <c r="M87" s="2"/>
      <c r="N87" s="159"/>
    </row>
    <row r="88" spans="1:14" x14ac:dyDescent="0.25">
      <c r="A88" s="272"/>
      <c r="B88" s="122"/>
      <c r="C88" s="114" t="s">
        <v>903</v>
      </c>
      <c r="D88" s="112" t="e">
        <f>'WZ Analysis (Worksheet)'!P133</f>
        <v>#DIV/0!</v>
      </c>
      <c r="E88" s="112" t="e">
        <f>'WZ Analysis (Worksheet)'!AA133</f>
        <v>#DIV/0!</v>
      </c>
      <c r="F88" s="112" t="e">
        <f>'WZ Analysis (Worksheet)'!W133</f>
        <v>#DIV/0!</v>
      </c>
      <c r="G88" s="173"/>
      <c r="H88" s="173"/>
      <c r="I88" s="2"/>
      <c r="J88" s="2"/>
      <c r="K88" s="2"/>
      <c r="L88" s="2"/>
      <c r="M88" s="2"/>
      <c r="N88" s="159"/>
    </row>
    <row r="89" spans="1:14" x14ac:dyDescent="0.25">
      <c r="A89" s="272"/>
      <c r="B89" s="122"/>
      <c r="C89" s="114" t="s">
        <v>904</v>
      </c>
      <c r="D89" s="113" t="e">
        <f>'WZ Analysis (Worksheet)'!Q133</f>
        <v>#DIV/0!</v>
      </c>
      <c r="E89" s="113" t="e">
        <f>'WZ Analysis (Worksheet)'!AB133</f>
        <v>#DIV/0!</v>
      </c>
      <c r="F89" s="113">
        <f>'WZ Analysis (Worksheet)'!X133</f>
        <v>0</v>
      </c>
      <c r="G89" s="173"/>
      <c r="H89" s="173"/>
      <c r="I89" s="2"/>
      <c r="J89" s="2"/>
      <c r="K89" s="2"/>
      <c r="L89" s="2"/>
      <c r="M89" s="2"/>
      <c r="N89" s="159"/>
    </row>
    <row r="90" spans="1:14" x14ac:dyDescent="0.25">
      <c r="A90" s="272"/>
      <c r="B90" s="122"/>
      <c r="C90" s="114" t="s">
        <v>905</v>
      </c>
      <c r="D90" s="115" t="e">
        <f>'WZ Analysis (Worksheet)'!R134</f>
        <v>#DIV/0!</v>
      </c>
      <c r="E90" s="115" t="e">
        <f>'WZ Analysis (Worksheet)'!AD134</f>
        <v>#DIV/0!</v>
      </c>
      <c r="F90" s="115" t="e">
        <f>'WZ Analysis (Worksheet)'!Y134</f>
        <v>#DIV/0!</v>
      </c>
      <c r="G90" s="173"/>
      <c r="H90" s="173"/>
      <c r="I90" s="2"/>
      <c r="J90" s="2"/>
      <c r="K90" s="2"/>
      <c r="L90" s="2"/>
      <c r="M90" s="2"/>
      <c r="N90" s="159"/>
    </row>
    <row r="91" spans="1:14" ht="13.8" thickBot="1" x14ac:dyDescent="0.3">
      <c r="A91" s="273"/>
      <c r="B91" s="161"/>
      <c r="C91" s="162"/>
      <c r="D91" s="162"/>
      <c r="E91" s="162"/>
      <c r="F91" s="12"/>
      <c r="G91" s="174"/>
      <c r="H91" s="174"/>
      <c r="I91" s="12"/>
      <c r="J91" s="12"/>
      <c r="K91" s="12"/>
      <c r="L91" s="12"/>
      <c r="M91" s="12"/>
      <c r="N91" s="163"/>
    </row>
    <row r="92" spans="1:14" ht="8.1" customHeight="1" thickBot="1" x14ac:dyDescent="0.3"/>
    <row r="93" spans="1:14" ht="15.6" x14ac:dyDescent="0.3">
      <c r="A93" s="271" t="str">
        <f>CONCATENATE('Step 2 - Facility Data Inputs'!I19," (",TEXT('Step 2 - Facility Data Inputs'!I20,"m/d/yy"),")")</f>
        <v>Thursday ()</v>
      </c>
      <c r="B93" s="155"/>
      <c r="C93" s="156"/>
      <c r="D93" s="156"/>
      <c r="E93" s="157"/>
      <c r="F93" s="157"/>
      <c r="G93" s="171"/>
      <c r="H93" s="171"/>
      <c r="I93" s="157"/>
      <c r="J93" s="157"/>
      <c r="K93" s="157"/>
      <c r="L93" s="157"/>
      <c r="M93" s="157"/>
      <c r="N93" s="158"/>
    </row>
    <row r="94" spans="1:14" ht="13.8" x14ac:dyDescent="0.25">
      <c r="A94" s="272"/>
      <c r="B94" s="122"/>
      <c r="C94" s="164" t="s">
        <v>906</v>
      </c>
      <c r="D94" s="2"/>
      <c r="E94" s="2"/>
      <c r="F94" s="2"/>
      <c r="G94" s="172"/>
      <c r="H94" s="173"/>
      <c r="I94" s="2"/>
      <c r="J94" s="2"/>
      <c r="K94" s="2"/>
      <c r="L94" s="2"/>
      <c r="M94" s="2"/>
      <c r="N94" s="159"/>
    </row>
    <row r="95" spans="1:14" ht="26.4" x14ac:dyDescent="0.25">
      <c r="A95" s="272"/>
      <c r="B95" s="122"/>
      <c r="C95" s="121" t="s">
        <v>945</v>
      </c>
      <c r="D95" s="184">
        <v>1900</v>
      </c>
      <c r="E95" s="283" t="str">
        <f>CONCATENATE("Base Conditions Capacity
(Total for ALL Lanes): ",'WZ Analysis (Worksheet)'!F138, " veh/h")</f>
        <v>Base Conditions Capacity
(Total for ALL Lanes): 0 veh/h</v>
      </c>
      <c r="F95" s="284"/>
      <c r="G95" s="172"/>
      <c r="H95" s="173"/>
      <c r="I95" s="2"/>
      <c r="J95" s="2"/>
      <c r="K95" s="2"/>
      <c r="L95" s="2"/>
      <c r="M95" s="2"/>
      <c r="N95" s="159"/>
    </row>
    <row r="96" spans="1:14" x14ac:dyDescent="0.25">
      <c r="A96" s="272"/>
      <c r="B96" s="122"/>
      <c r="C96" s="2"/>
      <c r="D96" s="125"/>
      <c r="E96" s="2"/>
      <c r="F96" s="2"/>
      <c r="G96" s="172"/>
      <c r="H96" s="173"/>
      <c r="I96" s="2"/>
      <c r="J96" s="2"/>
      <c r="K96" s="2"/>
      <c r="L96" s="2"/>
      <c r="M96" s="2"/>
      <c r="N96" s="159"/>
    </row>
    <row r="97" spans="1:14" ht="13.8" x14ac:dyDescent="0.25">
      <c r="A97" s="272"/>
      <c r="B97" s="122"/>
      <c r="C97" s="165" t="s">
        <v>841</v>
      </c>
      <c r="D97" s="125"/>
      <c r="E97" s="2"/>
      <c r="F97" s="2"/>
      <c r="G97" s="172"/>
      <c r="H97" s="173"/>
      <c r="I97" s="2"/>
      <c r="J97" s="2"/>
      <c r="K97" s="2"/>
      <c r="L97" s="2"/>
      <c r="M97" s="2"/>
      <c r="N97" s="159"/>
    </row>
    <row r="98" spans="1:14" ht="30" customHeight="1" x14ac:dyDescent="0.25">
      <c r="A98" s="272"/>
      <c r="B98" s="122"/>
      <c r="C98" s="120" t="s">
        <v>920</v>
      </c>
      <c r="D98" s="285" t="s">
        <v>921</v>
      </c>
      <c r="E98" s="286"/>
      <c r="F98" s="287"/>
      <c r="G98" s="172"/>
      <c r="H98" s="173"/>
      <c r="I98" s="2"/>
      <c r="J98" s="2"/>
      <c r="K98" s="2"/>
      <c r="L98" s="2"/>
      <c r="M98" s="2"/>
      <c r="N98" s="159"/>
    </row>
    <row r="99" spans="1:14" x14ac:dyDescent="0.25">
      <c r="A99" s="272"/>
      <c r="B99" s="122"/>
      <c r="C99" s="120" t="s">
        <v>913</v>
      </c>
      <c r="D99" s="288" t="s">
        <v>886</v>
      </c>
      <c r="E99" s="288"/>
      <c r="F99" s="288"/>
      <c r="G99" s="172"/>
      <c r="H99" s="172"/>
      <c r="I99" s="42"/>
      <c r="J99" s="42"/>
      <c r="K99" s="42"/>
      <c r="L99" s="126"/>
      <c r="M99" s="126"/>
      <c r="N99" s="159"/>
    </row>
    <row r="100" spans="1:14" x14ac:dyDescent="0.25">
      <c r="A100" s="272"/>
      <c r="B100" s="122"/>
      <c r="C100" s="120" t="s">
        <v>914</v>
      </c>
      <c r="D100" s="282" t="s">
        <v>28</v>
      </c>
      <c r="E100" s="282"/>
      <c r="F100" s="282"/>
      <c r="G100" s="172"/>
      <c r="H100" s="172"/>
      <c r="I100" s="42"/>
      <c r="J100" s="42"/>
      <c r="K100" s="42"/>
      <c r="L100" s="2"/>
      <c r="M100" s="2"/>
      <c r="N100" s="159"/>
    </row>
    <row r="101" spans="1:14" x14ac:dyDescent="0.25">
      <c r="A101" s="272"/>
      <c r="B101" s="122"/>
      <c r="C101" s="120" t="s">
        <v>915</v>
      </c>
      <c r="D101" s="282">
        <f>'Step 2 - Facility Data Inputs'!A12</f>
        <v>0</v>
      </c>
      <c r="E101" s="282"/>
      <c r="F101" s="282"/>
      <c r="G101" s="172"/>
      <c r="H101" s="173"/>
      <c r="I101" s="2"/>
      <c r="J101" s="2"/>
      <c r="K101" s="2"/>
      <c r="L101" s="2"/>
      <c r="M101" s="2"/>
      <c r="N101" s="159"/>
    </row>
    <row r="102" spans="1:14" ht="26.4" x14ac:dyDescent="0.25">
      <c r="A102" s="272"/>
      <c r="B102" s="122"/>
      <c r="C102" s="121" t="s">
        <v>946</v>
      </c>
      <c r="D102" s="281">
        <f>'WZ Analysis (Worksheet)'!F145</f>
        <v>0</v>
      </c>
      <c r="E102" s="281"/>
      <c r="F102" s="281"/>
      <c r="G102" s="172"/>
      <c r="H102" s="173"/>
      <c r="I102" s="2"/>
      <c r="J102" s="2"/>
      <c r="K102" s="2"/>
      <c r="L102" s="2"/>
      <c r="M102" s="2"/>
      <c r="N102" s="159"/>
    </row>
    <row r="103" spans="1:14" ht="26.4" x14ac:dyDescent="0.25">
      <c r="A103" s="272"/>
      <c r="B103" s="122"/>
      <c r="C103" s="121" t="s">
        <v>947</v>
      </c>
      <c r="D103" s="124"/>
      <c r="E103" s="177"/>
      <c r="F103" s="123"/>
      <c r="G103" s="172"/>
      <c r="H103" s="173"/>
      <c r="I103" s="2"/>
      <c r="J103" s="2"/>
      <c r="K103" s="2"/>
      <c r="L103" s="2"/>
      <c r="M103" s="127"/>
      <c r="N103" s="160"/>
    </row>
    <row r="104" spans="1:14" x14ac:dyDescent="0.25">
      <c r="A104" s="272"/>
      <c r="B104" s="122"/>
      <c r="C104" s="114" t="s">
        <v>900</v>
      </c>
      <c r="D104" s="280">
        <v>0</v>
      </c>
      <c r="E104" s="280"/>
      <c r="F104" s="280"/>
      <c r="H104" s="173"/>
      <c r="I104" s="2"/>
      <c r="J104" s="2"/>
      <c r="K104" s="2"/>
      <c r="L104" s="2"/>
      <c r="M104" s="127"/>
      <c r="N104" s="160"/>
    </row>
    <row r="105" spans="1:14" x14ac:dyDescent="0.25">
      <c r="A105" s="272"/>
      <c r="B105" s="122"/>
      <c r="C105" s="114" t="s">
        <v>901</v>
      </c>
      <c r="D105" s="280">
        <v>0</v>
      </c>
      <c r="E105" s="280"/>
      <c r="F105" s="280"/>
      <c r="H105" s="173"/>
      <c r="I105" s="2"/>
      <c r="J105" s="2"/>
      <c r="K105" s="2"/>
      <c r="L105" s="2"/>
      <c r="M105" s="2"/>
      <c r="N105" s="159"/>
    </row>
    <row r="106" spans="1:14" x14ac:dyDescent="0.25">
      <c r="A106" s="272"/>
      <c r="B106" s="122"/>
      <c r="C106" s="114" t="s">
        <v>926</v>
      </c>
      <c r="D106" s="261">
        <f>IF(D99='Reference Sheet'!$R$2,0,IF('WZ Analysis (Worksheet)'!G147='WZ Analysis (Worksheet)'!G148,24,IF('WZ Analysis (Worksheet)'!G148&gt;'WZ Analysis (Worksheet)'!G147,'WZ Analysis (Worksheet)'!G148-'WZ Analysis (Worksheet)'!G147,24-('WZ Analysis (Worksheet)'!G147-'WZ Analysis (Worksheet)'!G148))))</f>
        <v>0</v>
      </c>
      <c r="E106" s="261"/>
      <c r="F106" s="261"/>
      <c r="G106" s="172"/>
      <c r="H106" s="173"/>
      <c r="I106" s="2"/>
      <c r="J106" s="2"/>
      <c r="K106" s="2"/>
      <c r="L106" s="2"/>
      <c r="M106" s="2"/>
      <c r="N106" s="159"/>
    </row>
    <row r="107" spans="1:14" x14ac:dyDescent="0.25">
      <c r="A107" s="272"/>
      <c r="B107" s="122"/>
      <c r="C107" s="117"/>
      <c r="D107" s="2"/>
      <c r="E107" s="2"/>
      <c r="F107" s="38"/>
      <c r="G107" s="173"/>
      <c r="H107" s="173"/>
      <c r="I107" s="2"/>
      <c r="J107" s="2"/>
      <c r="K107" s="2"/>
      <c r="L107" s="2"/>
      <c r="M107" s="2"/>
      <c r="N107" s="159"/>
    </row>
    <row r="108" spans="1:14" ht="13.8" x14ac:dyDescent="0.25">
      <c r="A108" s="272"/>
      <c r="B108" s="122"/>
      <c r="C108" s="164" t="s">
        <v>896</v>
      </c>
      <c r="D108" s="2"/>
      <c r="E108" s="2"/>
      <c r="F108" s="38"/>
      <c r="G108" s="173"/>
      <c r="H108" s="173"/>
      <c r="I108" s="2"/>
      <c r="J108" s="2"/>
      <c r="K108" s="2"/>
      <c r="L108" s="2"/>
      <c r="M108" s="2"/>
      <c r="N108" s="159"/>
    </row>
    <row r="109" spans="1:14" x14ac:dyDescent="0.25">
      <c r="A109" s="272"/>
      <c r="B109" s="122"/>
      <c r="C109" s="114" t="s">
        <v>899</v>
      </c>
      <c r="D109" s="118" t="s">
        <v>895</v>
      </c>
      <c r="E109" s="118" t="s">
        <v>898</v>
      </c>
      <c r="F109" s="119" t="s">
        <v>897</v>
      </c>
      <c r="G109" s="173"/>
      <c r="H109" s="173"/>
      <c r="I109" s="2"/>
      <c r="J109" s="2"/>
      <c r="K109" s="2"/>
      <c r="L109" s="2"/>
      <c r="M109" s="2"/>
      <c r="N109" s="159"/>
    </row>
    <row r="110" spans="1:14" x14ac:dyDescent="0.25">
      <c r="A110" s="272"/>
      <c r="B110" s="122"/>
      <c r="C110" s="114" t="s">
        <v>903</v>
      </c>
      <c r="D110" s="112" t="e">
        <f>'WZ Analysis (Worksheet)'!D153</f>
        <v>#DIV/0!</v>
      </c>
      <c r="E110" s="112" t="e">
        <f>'WZ Analysis (Worksheet)'!E153</f>
        <v>#DIV/0!</v>
      </c>
      <c r="F110" s="112" t="e">
        <f>'WZ Analysis (Worksheet)'!F153</f>
        <v>#DIV/0!</v>
      </c>
      <c r="G110" s="173"/>
      <c r="H110" s="173"/>
      <c r="I110" s="2"/>
      <c r="J110" s="2"/>
      <c r="K110" s="2"/>
      <c r="L110" s="2"/>
      <c r="M110" s="2"/>
      <c r="N110" s="159"/>
    </row>
    <row r="111" spans="1:14" x14ac:dyDescent="0.25">
      <c r="A111" s="272"/>
      <c r="B111" s="122"/>
      <c r="C111" s="114" t="s">
        <v>904</v>
      </c>
      <c r="D111" s="113" t="e">
        <f>'WZ Analysis (Worksheet)'!D154</f>
        <v>#DIV/0!</v>
      </c>
      <c r="E111" s="113" t="e">
        <f>'WZ Analysis (Worksheet)'!E154</f>
        <v>#DIV/0!</v>
      </c>
      <c r="F111" s="113">
        <f>'WZ Analysis (Worksheet)'!F154</f>
        <v>0</v>
      </c>
      <c r="G111" s="173"/>
      <c r="H111" s="173"/>
      <c r="I111" s="2"/>
      <c r="J111" s="2"/>
      <c r="K111" s="2"/>
      <c r="L111" s="2"/>
      <c r="M111" s="2"/>
      <c r="N111" s="159"/>
    </row>
    <row r="112" spans="1:14" x14ac:dyDescent="0.25">
      <c r="A112" s="272"/>
      <c r="B112" s="122"/>
      <c r="C112" s="114" t="s">
        <v>905</v>
      </c>
      <c r="D112" s="115" t="e">
        <f>'WZ Analysis (Worksheet)'!D155</f>
        <v>#DIV/0!</v>
      </c>
      <c r="E112" s="115" t="e">
        <f>'WZ Analysis (Worksheet)'!E155</f>
        <v>#DIV/0!</v>
      </c>
      <c r="F112" s="115" t="e">
        <f>'WZ Analysis (Worksheet)'!F155</f>
        <v>#DIV/0!</v>
      </c>
      <c r="G112" s="173"/>
      <c r="H112" s="173"/>
      <c r="I112" s="2"/>
      <c r="J112" s="2"/>
      <c r="K112" s="2"/>
      <c r="L112" s="2"/>
      <c r="M112" s="2"/>
      <c r="N112" s="159"/>
    </row>
    <row r="113" spans="1:14" ht="13.8" thickBot="1" x14ac:dyDescent="0.3">
      <c r="A113" s="273"/>
      <c r="B113" s="161"/>
      <c r="C113" s="162"/>
      <c r="D113" s="162"/>
      <c r="E113" s="162"/>
      <c r="F113" s="12"/>
      <c r="G113" s="174"/>
      <c r="H113" s="174"/>
      <c r="I113" s="12"/>
      <c r="J113" s="12"/>
      <c r="K113" s="12"/>
      <c r="L113" s="12"/>
      <c r="M113" s="12"/>
      <c r="N113" s="163"/>
    </row>
    <row r="114" spans="1:14" ht="8.1" customHeight="1" thickBot="1" x14ac:dyDescent="0.3"/>
    <row r="115" spans="1:14" ht="15.6" x14ac:dyDescent="0.3">
      <c r="A115" s="271" t="str">
        <f>CONCATENATE('Step 2 - Facility Data Inputs'!J19," (",TEXT('Step 2 - Facility Data Inputs'!J20,"m/d/yy"),")")</f>
        <v>Friday ()</v>
      </c>
      <c r="B115" s="155"/>
      <c r="C115" s="156"/>
      <c r="D115" s="156"/>
      <c r="E115" s="157"/>
      <c r="F115" s="157"/>
      <c r="G115" s="171"/>
      <c r="H115" s="171"/>
      <c r="I115" s="157"/>
      <c r="J115" s="157"/>
      <c r="K115" s="157"/>
      <c r="L115" s="157"/>
      <c r="M115" s="157"/>
      <c r="N115" s="158"/>
    </row>
    <row r="116" spans="1:14" ht="13.8" x14ac:dyDescent="0.25">
      <c r="A116" s="272"/>
      <c r="B116" s="122"/>
      <c r="C116" s="164" t="s">
        <v>906</v>
      </c>
      <c r="D116" s="2"/>
      <c r="E116" s="2"/>
      <c r="F116" s="2"/>
      <c r="G116" s="172"/>
      <c r="H116" s="173"/>
      <c r="I116" s="2"/>
      <c r="J116" s="2"/>
      <c r="K116" s="2"/>
      <c r="L116" s="2"/>
      <c r="M116" s="2"/>
      <c r="N116" s="159"/>
    </row>
    <row r="117" spans="1:14" ht="26.4" x14ac:dyDescent="0.25">
      <c r="A117" s="272"/>
      <c r="B117" s="122"/>
      <c r="C117" s="121" t="s">
        <v>945</v>
      </c>
      <c r="D117" s="184">
        <v>1900</v>
      </c>
      <c r="E117" s="283" t="str">
        <f>CONCATENATE("Base Conditions Capacity
(Total for ALL Lanes): ",'WZ Analysis (Worksheet)'!F167, " veh/h")</f>
        <v>Base Conditions Capacity
(Total for ALL Lanes): 0 veh/h</v>
      </c>
      <c r="F117" s="284"/>
      <c r="G117" s="172"/>
      <c r="H117" s="173"/>
      <c r="I117" s="2"/>
      <c r="J117" s="2"/>
      <c r="K117" s="2"/>
      <c r="L117" s="2"/>
      <c r="M117" s="2"/>
      <c r="N117" s="159"/>
    </row>
    <row r="118" spans="1:14" x14ac:dyDescent="0.25">
      <c r="A118" s="272"/>
      <c r="B118" s="122"/>
      <c r="C118" s="2"/>
      <c r="D118" s="125"/>
      <c r="E118" s="2"/>
      <c r="F118" s="2"/>
      <c r="G118" s="172"/>
      <c r="H118" s="173"/>
      <c r="I118" s="2"/>
      <c r="J118" s="2"/>
      <c r="K118" s="2"/>
      <c r="L118" s="2"/>
      <c r="M118" s="2"/>
      <c r="N118" s="159"/>
    </row>
    <row r="119" spans="1:14" ht="13.8" x14ac:dyDescent="0.25">
      <c r="A119" s="272"/>
      <c r="B119" s="122"/>
      <c r="C119" s="165" t="s">
        <v>841</v>
      </c>
      <c r="D119" s="125"/>
      <c r="E119" s="2"/>
      <c r="F119" s="2"/>
      <c r="G119" s="172"/>
      <c r="H119" s="173"/>
      <c r="I119" s="2"/>
      <c r="J119" s="2"/>
      <c r="K119" s="2"/>
      <c r="L119" s="2"/>
      <c r="M119" s="2"/>
      <c r="N119" s="159"/>
    </row>
    <row r="120" spans="1:14" ht="30" customHeight="1" x14ac:dyDescent="0.25">
      <c r="A120" s="272"/>
      <c r="B120" s="122"/>
      <c r="C120" s="120" t="s">
        <v>920</v>
      </c>
      <c r="D120" s="285" t="s">
        <v>921</v>
      </c>
      <c r="E120" s="286"/>
      <c r="F120" s="287"/>
      <c r="G120" s="172"/>
      <c r="H120" s="173"/>
      <c r="I120" s="2"/>
      <c r="J120" s="2"/>
      <c r="K120" s="2"/>
      <c r="L120" s="2"/>
      <c r="M120" s="2"/>
      <c r="N120" s="159"/>
    </row>
    <row r="121" spans="1:14" x14ac:dyDescent="0.25">
      <c r="A121" s="272"/>
      <c r="B121" s="122"/>
      <c r="C121" s="120" t="s">
        <v>913</v>
      </c>
      <c r="D121" s="288" t="s">
        <v>886</v>
      </c>
      <c r="E121" s="288"/>
      <c r="F121" s="288"/>
      <c r="G121" s="172"/>
      <c r="H121" s="172"/>
      <c r="I121" s="42"/>
      <c r="J121" s="42"/>
      <c r="K121" s="42"/>
      <c r="L121" s="126"/>
      <c r="M121" s="126"/>
      <c r="N121" s="159"/>
    </row>
    <row r="122" spans="1:14" x14ac:dyDescent="0.25">
      <c r="A122" s="272"/>
      <c r="B122" s="122"/>
      <c r="C122" s="120" t="s">
        <v>914</v>
      </c>
      <c r="D122" s="282" t="s">
        <v>28</v>
      </c>
      <c r="E122" s="282"/>
      <c r="F122" s="282"/>
      <c r="G122" s="172"/>
      <c r="H122" s="172"/>
      <c r="I122" s="42"/>
      <c r="J122" s="42"/>
      <c r="K122" s="42"/>
      <c r="L122" s="2"/>
      <c r="M122" s="2"/>
      <c r="N122" s="159"/>
    </row>
    <row r="123" spans="1:14" x14ac:dyDescent="0.25">
      <c r="A123" s="272"/>
      <c r="B123" s="122"/>
      <c r="C123" s="120" t="s">
        <v>915</v>
      </c>
      <c r="D123" s="282">
        <f>'Step 2 - Facility Data Inputs'!A12</f>
        <v>0</v>
      </c>
      <c r="E123" s="282"/>
      <c r="F123" s="282"/>
      <c r="G123" s="172"/>
      <c r="H123" s="173"/>
      <c r="I123" s="2"/>
      <c r="J123" s="2"/>
      <c r="K123" s="2"/>
      <c r="L123" s="2"/>
      <c r="M123" s="2"/>
      <c r="N123" s="159"/>
    </row>
    <row r="124" spans="1:14" ht="26.4" x14ac:dyDescent="0.25">
      <c r="A124" s="272"/>
      <c r="B124" s="122"/>
      <c r="C124" s="121" t="s">
        <v>946</v>
      </c>
      <c r="D124" s="281">
        <f>'WZ Analysis (Worksheet)'!F174</f>
        <v>0</v>
      </c>
      <c r="E124" s="281"/>
      <c r="F124" s="281"/>
      <c r="G124" s="172"/>
      <c r="H124" s="173"/>
      <c r="I124" s="2"/>
      <c r="J124" s="2"/>
      <c r="K124" s="2"/>
      <c r="L124" s="2"/>
      <c r="M124" s="2"/>
      <c r="N124" s="159"/>
    </row>
    <row r="125" spans="1:14" ht="26.4" x14ac:dyDescent="0.25">
      <c r="A125" s="272"/>
      <c r="B125" s="122"/>
      <c r="C125" s="121" t="s">
        <v>947</v>
      </c>
      <c r="D125" s="124"/>
      <c r="E125" s="177"/>
      <c r="F125" s="123"/>
      <c r="G125" s="172"/>
      <c r="H125" s="173"/>
      <c r="I125" s="2"/>
      <c r="J125" s="2"/>
      <c r="K125" s="2"/>
      <c r="L125" s="2"/>
      <c r="M125" s="127"/>
      <c r="N125" s="160"/>
    </row>
    <row r="126" spans="1:14" x14ac:dyDescent="0.25">
      <c r="A126" s="272"/>
      <c r="B126" s="122"/>
      <c r="C126" s="114" t="s">
        <v>900</v>
      </c>
      <c r="D126" s="280">
        <v>0</v>
      </c>
      <c r="E126" s="280"/>
      <c r="F126" s="280"/>
      <c r="H126" s="173"/>
      <c r="I126" s="2"/>
      <c r="J126" s="2"/>
      <c r="K126" s="2"/>
      <c r="L126" s="2"/>
      <c r="M126" s="127"/>
      <c r="N126" s="160"/>
    </row>
    <row r="127" spans="1:14" x14ac:dyDescent="0.25">
      <c r="A127" s="272"/>
      <c r="B127" s="122"/>
      <c r="C127" s="114" t="s">
        <v>901</v>
      </c>
      <c r="D127" s="280">
        <v>0</v>
      </c>
      <c r="E127" s="280"/>
      <c r="F127" s="280"/>
      <c r="H127" s="173"/>
      <c r="I127" s="2"/>
      <c r="J127" s="2"/>
      <c r="K127" s="2"/>
      <c r="L127" s="2"/>
      <c r="M127" s="2"/>
      <c r="N127" s="159"/>
    </row>
    <row r="128" spans="1:14" x14ac:dyDescent="0.25">
      <c r="A128" s="272"/>
      <c r="B128" s="122"/>
      <c r="C128" s="114" t="s">
        <v>926</v>
      </c>
      <c r="D128" s="261">
        <f>IF(D121='Reference Sheet'!$R$2,0,IF('WZ Analysis (Worksheet)'!G176='WZ Analysis (Worksheet)'!G177,24,IF('WZ Analysis (Worksheet)'!G177&gt;'WZ Analysis (Worksheet)'!G176,'WZ Analysis (Worksheet)'!G177-'WZ Analysis (Worksheet)'!G176,24-('WZ Analysis (Worksheet)'!G176-'WZ Analysis (Worksheet)'!G177))))</f>
        <v>0</v>
      </c>
      <c r="E128" s="261"/>
      <c r="F128" s="261"/>
      <c r="G128" s="172"/>
      <c r="H128" s="173"/>
      <c r="I128" s="2"/>
      <c r="J128" s="2"/>
      <c r="K128" s="2"/>
      <c r="L128" s="2"/>
      <c r="M128" s="2"/>
      <c r="N128" s="159"/>
    </row>
    <row r="129" spans="1:14" x14ac:dyDescent="0.25">
      <c r="A129" s="272"/>
      <c r="B129" s="122"/>
      <c r="C129" s="117"/>
      <c r="D129" s="2"/>
      <c r="E129" s="2"/>
      <c r="F129" s="38"/>
      <c r="G129" s="173"/>
      <c r="H129" s="173"/>
      <c r="I129" s="2"/>
      <c r="J129" s="2"/>
      <c r="K129" s="2"/>
      <c r="L129" s="2"/>
      <c r="M129" s="2"/>
      <c r="N129" s="159"/>
    </row>
    <row r="130" spans="1:14" ht="13.8" x14ac:dyDescent="0.25">
      <c r="A130" s="272"/>
      <c r="B130" s="122"/>
      <c r="C130" s="164" t="s">
        <v>896</v>
      </c>
      <c r="D130" s="2"/>
      <c r="E130" s="2"/>
      <c r="F130" s="38"/>
      <c r="G130" s="173"/>
      <c r="H130" s="173"/>
      <c r="I130" s="2"/>
      <c r="J130" s="2"/>
      <c r="K130" s="2"/>
      <c r="L130" s="2"/>
      <c r="M130" s="2"/>
      <c r="N130" s="159"/>
    </row>
    <row r="131" spans="1:14" x14ac:dyDescent="0.25">
      <c r="A131" s="272"/>
      <c r="B131" s="122"/>
      <c r="C131" s="114" t="s">
        <v>899</v>
      </c>
      <c r="D131" s="118" t="s">
        <v>895</v>
      </c>
      <c r="E131" s="118" t="s">
        <v>898</v>
      </c>
      <c r="F131" s="119" t="s">
        <v>897</v>
      </c>
      <c r="G131" s="173"/>
      <c r="H131" s="173"/>
      <c r="I131" s="2"/>
      <c r="J131" s="2"/>
      <c r="K131" s="2"/>
      <c r="L131" s="2"/>
      <c r="M131" s="2"/>
      <c r="N131" s="159"/>
    </row>
    <row r="132" spans="1:14" x14ac:dyDescent="0.25">
      <c r="A132" s="272"/>
      <c r="B132" s="122"/>
      <c r="C132" s="114" t="s">
        <v>903</v>
      </c>
      <c r="D132" s="112" t="e">
        <f>'WZ Analysis (Worksheet)'!D182</f>
        <v>#DIV/0!</v>
      </c>
      <c r="E132" s="112" t="e">
        <f>'WZ Analysis (Worksheet)'!E182</f>
        <v>#DIV/0!</v>
      </c>
      <c r="F132" s="112" t="e">
        <f>'WZ Analysis (Worksheet)'!F182</f>
        <v>#DIV/0!</v>
      </c>
      <c r="G132" s="173"/>
      <c r="H132" s="173"/>
      <c r="I132" s="2"/>
      <c r="J132" s="2"/>
      <c r="K132" s="2"/>
      <c r="L132" s="2"/>
      <c r="M132" s="2"/>
      <c r="N132" s="159"/>
    </row>
    <row r="133" spans="1:14" x14ac:dyDescent="0.25">
      <c r="A133" s="272"/>
      <c r="B133" s="122"/>
      <c r="C133" s="114" t="s">
        <v>904</v>
      </c>
      <c r="D133" s="113" t="e">
        <f>'WZ Analysis (Worksheet)'!D183</f>
        <v>#DIV/0!</v>
      </c>
      <c r="E133" s="113" t="e">
        <f>'WZ Analysis (Worksheet)'!E183</f>
        <v>#DIV/0!</v>
      </c>
      <c r="F133" s="113">
        <f>'WZ Analysis (Worksheet)'!F183</f>
        <v>0</v>
      </c>
      <c r="G133" s="173"/>
      <c r="H133" s="173"/>
      <c r="I133" s="2"/>
      <c r="J133" s="2"/>
      <c r="K133" s="2"/>
      <c r="L133" s="2"/>
      <c r="M133" s="2"/>
      <c r="N133" s="159"/>
    </row>
    <row r="134" spans="1:14" x14ac:dyDescent="0.25">
      <c r="A134" s="272"/>
      <c r="B134" s="122"/>
      <c r="C134" s="114" t="s">
        <v>905</v>
      </c>
      <c r="D134" s="115" t="e">
        <f>'WZ Analysis (Worksheet)'!D184</f>
        <v>#DIV/0!</v>
      </c>
      <c r="E134" s="115" t="e">
        <f>'WZ Analysis (Worksheet)'!E184</f>
        <v>#DIV/0!</v>
      </c>
      <c r="F134" s="115" t="e">
        <f>'WZ Analysis (Worksheet)'!F184</f>
        <v>#DIV/0!</v>
      </c>
      <c r="G134" s="173"/>
      <c r="H134" s="173"/>
      <c r="I134" s="2"/>
      <c r="J134" s="2"/>
      <c r="K134" s="2"/>
      <c r="L134" s="2"/>
      <c r="M134" s="2"/>
      <c r="N134" s="159"/>
    </row>
    <row r="135" spans="1:14" ht="13.8" thickBot="1" x14ac:dyDescent="0.3">
      <c r="A135" s="273"/>
      <c r="B135" s="161"/>
      <c r="C135" s="162"/>
      <c r="D135" s="162"/>
      <c r="E135" s="162"/>
      <c r="F135" s="12"/>
      <c r="G135" s="174"/>
      <c r="H135" s="174"/>
      <c r="I135" s="12"/>
      <c r="J135" s="12"/>
      <c r="K135" s="12"/>
      <c r="L135" s="12"/>
      <c r="M135" s="12"/>
      <c r="N135" s="163"/>
    </row>
    <row r="136" spans="1:14" ht="8.1" customHeight="1" thickBot="1" x14ac:dyDescent="0.3"/>
    <row r="137" spans="1:14" ht="15.6" x14ac:dyDescent="0.3">
      <c r="A137" s="271" t="str">
        <f>CONCATENATE('Step 2 - Facility Data Inputs'!K19," (",TEXT('Step 2 - Facility Data Inputs'!K20,"m/d/yy"),")")</f>
        <v>Saturday ()</v>
      </c>
      <c r="B137" s="155"/>
      <c r="C137" s="156"/>
      <c r="D137" s="156"/>
      <c r="E137" s="157"/>
      <c r="F137" s="157"/>
      <c r="G137" s="171"/>
      <c r="H137" s="171"/>
      <c r="I137" s="157"/>
      <c r="J137" s="157"/>
      <c r="K137" s="157"/>
      <c r="L137" s="157"/>
      <c r="M137" s="157"/>
      <c r="N137" s="158"/>
    </row>
    <row r="138" spans="1:14" ht="13.8" x14ac:dyDescent="0.25">
      <c r="A138" s="272"/>
      <c r="B138" s="122"/>
      <c r="C138" s="164" t="s">
        <v>906</v>
      </c>
      <c r="D138" s="2"/>
      <c r="E138" s="2"/>
      <c r="F138" s="2"/>
      <c r="G138" s="172"/>
      <c r="H138" s="173"/>
      <c r="I138" s="2"/>
      <c r="J138" s="2"/>
      <c r="K138" s="2"/>
      <c r="L138" s="2"/>
      <c r="M138" s="2"/>
      <c r="N138" s="159"/>
    </row>
    <row r="139" spans="1:14" ht="26.4" x14ac:dyDescent="0.25">
      <c r="A139" s="272"/>
      <c r="B139" s="122"/>
      <c r="C139" s="121" t="s">
        <v>945</v>
      </c>
      <c r="D139" s="184">
        <v>1900</v>
      </c>
      <c r="E139" s="283" t="str">
        <f>CONCATENATE("Base Conditions Capacity
(Total for ALL Lanes): ",'WZ Analysis (Worksheet)'!F196, " veh/h")</f>
        <v>Base Conditions Capacity
(Total for ALL Lanes): 0 veh/h</v>
      </c>
      <c r="F139" s="284"/>
      <c r="G139" s="172"/>
      <c r="H139" s="173"/>
      <c r="I139" s="2"/>
      <c r="J139" s="2"/>
      <c r="K139" s="2"/>
      <c r="L139" s="2"/>
      <c r="M139" s="2"/>
      <c r="N139" s="159"/>
    </row>
    <row r="140" spans="1:14" x14ac:dyDescent="0.25">
      <c r="A140" s="272"/>
      <c r="B140" s="122"/>
      <c r="C140" s="2"/>
      <c r="D140" s="125"/>
      <c r="E140" s="2"/>
      <c r="F140" s="2"/>
      <c r="G140" s="172"/>
      <c r="H140" s="173"/>
      <c r="I140" s="2"/>
      <c r="J140" s="2"/>
      <c r="K140" s="2"/>
      <c r="L140" s="2"/>
      <c r="M140" s="2"/>
      <c r="N140" s="159"/>
    </row>
    <row r="141" spans="1:14" ht="13.8" x14ac:dyDescent="0.25">
      <c r="A141" s="272"/>
      <c r="B141" s="122"/>
      <c r="C141" s="165" t="s">
        <v>841</v>
      </c>
      <c r="D141" s="125"/>
      <c r="E141" s="2"/>
      <c r="F141" s="2"/>
      <c r="G141" s="172"/>
      <c r="H141" s="173"/>
      <c r="I141" s="2"/>
      <c r="J141" s="2"/>
      <c r="K141" s="2"/>
      <c r="L141" s="2"/>
      <c r="M141" s="2"/>
      <c r="N141" s="159"/>
    </row>
    <row r="142" spans="1:14" ht="30" customHeight="1" x14ac:dyDescent="0.25">
      <c r="A142" s="272"/>
      <c r="B142" s="122"/>
      <c r="C142" s="120" t="s">
        <v>920</v>
      </c>
      <c r="D142" s="285" t="s">
        <v>921</v>
      </c>
      <c r="E142" s="286"/>
      <c r="F142" s="287"/>
      <c r="G142" s="172"/>
      <c r="H142" s="173"/>
      <c r="I142" s="2"/>
      <c r="J142" s="2"/>
      <c r="K142" s="2"/>
      <c r="L142" s="2"/>
      <c r="M142" s="2"/>
      <c r="N142" s="159"/>
    </row>
    <row r="143" spans="1:14" x14ac:dyDescent="0.25">
      <c r="A143" s="272"/>
      <c r="B143" s="122"/>
      <c r="C143" s="120" t="s">
        <v>913</v>
      </c>
      <c r="D143" s="288" t="s">
        <v>886</v>
      </c>
      <c r="E143" s="288"/>
      <c r="F143" s="288"/>
      <c r="G143" s="172"/>
      <c r="H143" s="172"/>
      <c r="I143" s="42"/>
      <c r="J143" s="42"/>
      <c r="K143" s="42"/>
      <c r="L143" s="126"/>
      <c r="M143" s="126"/>
      <c r="N143" s="159"/>
    </row>
    <row r="144" spans="1:14" x14ac:dyDescent="0.25">
      <c r="A144" s="272"/>
      <c r="B144" s="122"/>
      <c r="C144" s="120" t="s">
        <v>914</v>
      </c>
      <c r="D144" s="282" t="s">
        <v>28</v>
      </c>
      <c r="E144" s="282"/>
      <c r="F144" s="282"/>
      <c r="G144" s="172"/>
      <c r="H144" s="172"/>
      <c r="I144" s="42"/>
      <c r="J144" s="42"/>
      <c r="K144" s="42"/>
      <c r="L144" s="2"/>
      <c r="M144" s="2"/>
      <c r="N144" s="159"/>
    </row>
    <row r="145" spans="1:14" x14ac:dyDescent="0.25">
      <c r="A145" s="272"/>
      <c r="B145" s="122"/>
      <c r="C145" s="120" t="s">
        <v>915</v>
      </c>
      <c r="D145" s="282">
        <f>'Step 2 - Facility Data Inputs'!A12</f>
        <v>0</v>
      </c>
      <c r="E145" s="282"/>
      <c r="F145" s="282"/>
      <c r="G145" s="172"/>
      <c r="H145" s="173"/>
      <c r="I145" s="2"/>
      <c r="J145" s="2"/>
      <c r="K145" s="2"/>
      <c r="L145" s="2"/>
      <c r="M145" s="2"/>
      <c r="N145" s="159"/>
    </row>
    <row r="146" spans="1:14" ht="26.4" x14ac:dyDescent="0.25">
      <c r="A146" s="272"/>
      <c r="B146" s="122"/>
      <c r="C146" s="121" t="s">
        <v>946</v>
      </c>
      <c r="D146" s="281">
        <f>'WZ Analysis (Worksheet)'!F203</f>
        <v>0</v>
      </c>
      <c r="E146" s="281"/>
      <c r="F146" s="281"/>
      <c r="G146" s="172"/>
      <c r="H146" s="173"/>
      <c r="I146" s="2"/>
      <c r="J146" s="2"/>
      <c r="K146" s="2"/>
      <c r="L146" s="2"/>
      <c r="M146" s="2"/>
      <c r="N146" s="159"/>
    </row>
    <row r="147" spans="1:14" ht="26.4" x14ac:dyDescent="0.25">
      <c r="A147" s="272"/>
      <c r="B147" s="122"/>
      <c r="C147" s="121" t="s">
        <v>947</v>
      </c>
      <c r="D147" s="124"/>
      <c r="E147" s="177"/>
      <c r="F147" s="123"/>
      <c r="G147" s="172"/>
      <c r="H147" s="173"/>
      <c r="I147" s="2"/>
      <c r="J147" s="2"/>
      <c r="K147" s="2"/>
      <c r="L147" s="2"/>
      <c r="M147" s="127"/>
      <c r="N147" s="160"/>
    </row>
    <row r="148" spans="1:14" x14ac:dyDescent="0.25">
      <c r="A148" s="272"/>
      <c r="B148" s="122"/>
      <c r="C148" s="114" t="s">
        <v>900</v>
      </c>
      <c r="D148" s="280">
        <v>0</v>
      </c>
      <c r="E148" s="280"/>
      <c r="F148" s="280"/>
      <c r="H148" s="173"/>
      <c r="I148" s="2"/>
      <c r="J148" s="2"/>
      <c r="K148" s="2"/>
      <c r="L148" s="2"/>
      <c r="M148" s="127"/>
      <c r="N148" s="160"/>
    </row>
    <row r="149" spans="1:14" x14ac:dyDescent="0.25">
      <c r="A149" s="272"/>
      <c r="B149" s="122"/>
      <c r="C149" s="114" t="s">
        <v>901</v>
      </c>
      <c r="D149" s="280">
        <v>0</v>
      </c>
      <c r="E149" s="280"/>
      <c r="F149" s="280"/>
      <c r="H149" s="173"/>
      <c r="I149" s="2"/>
      <c r="J149" s="2"/>
      <c r="K149" s="2"/>
      <c r="L149" s="2"/>
      <c r="M149" s="2"/>
      <c r="N149" s="159"/>
    </row>
    <row r="150" spans="1:14" x14ac:dyDescent="0.25">
      <c r="A150" s="272"/>
      <c r="B150" s="122"/>
      <c r="C150" s="114" t="s">
        <v>926</v>
      </c>
      <c r="D150" s="261">
        <f>IF(D143='Reference Sheet'!$R$2,0,IF('WZ Analysis (Worksheet)'!G205='WZ Analysis (Worksheet)'!G206,24,IF('WZ Analysis (Worksheet)'!G206&gt;'WZ Analysis (Worksheet)'!G205,'WZ Analysis (Worksheet)'!G206-'WZ Analysis (Worksheet)'!G205,24-('WZ Analysis (Worksheet)'!G205-'WZ Analysis (Worksheet)'!G206))))</f>
        <v>0</v>
      </c>
      <c r="E150" s="261"/>
      <c r="F150" s="261"/>
      <c r="G150" s="172"/>
      <c r="H150" s="173"/>
      <c r="I150" s="2"/>
      <c r="J150" s="2"/>
      <c r="K150" s="2"/>
      <c r="L150" s="2"/>
      <c r="M150" s="2"/>
      <c r="N150" s="159"/>
    </row>
    <row r="151" spans="1:14" x14ac:dyDescent="0.25">
      <c r="A151" s="272"/>
      <c r="B151" s="122"/>
      <c r="C151" s="117"/>
      <c r="D151" s="2"/>
      <c r="E151" s="2"/>
      <c r="F151" s="38"/>
      <c r="G151" s="173"/>
      <c r="H151" s="173"/>
      <c r="I151" s="2"/>
      <c r="J151" s="2"/>
      <c r="K151" s="2"/>
      <c r="L151" s="2"/>
      <c r="M151" s="2"/>
      <c r="N151" s="159"/>
    </row>
    <row r="152" spans="1:14" ht="13.8" x14ac:dyDescent="0.25">
      <c r="A152" s="272"/>
      <c r="B152" s="122"/>
      <c r="C152" s="164" t="s">
        <v>896</v>
      </c>
      <c r="D152" s="2"/>
      <c r="E152" s="2"/>
      <c r="F152" s="38"/>
      <c r="G152" s="173"/>
      <c r="H152" s="173"/>
      <c r="I152" s="2"/>
      <c r="J152" s="2"/>
      <c r="K152" s="2"/>
      <c r="L152" s="2"/>
      <c r="M152" s="2"/>
      <c r="N152" s="159"/>
    </row>
    <row r="153" spans="1:14" x14ac:dyDescent="0.25">
      <c r="A153" s="272"/>
      <c r="B153" s="122"/>
      <c r="C153" s="114" t="s">
        <v>899</v>
      </c>
      <c r="D153" s="118" t="s">
        <v>895</v>
      </c>
      <c r="E153" s="118" t="s">
        <v>898</v>
      </c>
      <c r="F153" s="119" t="s">
        <v>897</v>
      </c>
      <c r="G153" s="173"/>
      <c r="H153" s="173"/>
      <c r="I153" s="2"/>
      <c r="J153" s="2"/>
      <c r="K153" s="2"/>
      <c r="L153" s="2"/>
      <c r="M153" s="2"/>
      <c r="N153" s="159"/>
    </row>
    <row r="154" spans="1:14" x14ac:dyDescent="0.25">
      <c r="A154" s="272"/>
      <c r="B154" s="122"/>
      <c r="C154" s="114" t="s">
        <v>903</v>
      </c>
      <c r="D154" s="112" t="e">
        <f>'WZ Analysis (Worksheet)'!D211</f>
        <v>#DIV/0!</v>
      </c>
      <c r="E154" s="112" t="e">
        <f>'WZ Analysis (Worksheet)'!E211</f>
        <v>#DIV/0!</v>
      </c>
      <c r="F154" s="112" t="e">
        <f>'WZ Analysis (Worksheet)'!F211</f>
        <v>#DIV/0!</v>
      </c>
      <c r="G154" s="173"/>
      <c r="H154" s="173"/>
      <c r="I154" s="2"/>
      <c r="J154" s="2"/>
      <c r="K154" s="2"/>
      <c r="L154" s="2"/>
      <c r="M154" s="2"/>
      <c r="N154" s="159"/>
    </row>
    <row r="155" spans="1:14" x14ac:dyDescent="0.25">
      <c r="A155" s="272"/>
      <c r="B155" s="122"/>
      <c r="C155" s="114" t="s">
        <v>904</v>
      </c>
      <c r="D155" s="113" t="e">
        <f>'WZ Analysis (Worksheet)'!D212</f>
        <v>#DIV/0!</v>
      </c>
      <c r="E155" s="113" t="e">
        <f>'WZ Analysis (Worksheet)'!E212</f>
        <v>#DIV/0!</v>
      </c>
      <c r="F155" s="113">
        <f>'WZ Analysis (Worksheet)'!F212</f>
        <v>0</v>
      </c>
      <c r="G155" s="173"/>
      <c r="H155" s="173"/>
      <c r="I155" s="2"/>
      <c r="J155" s="2"/>
      <c r="K155" s="2"/>
      <c r="L155" s="2"/>
      <c r="M155" s="2"/>
      <c r="N155" s="159"/>
    </row>
    <row r="156" spans="1:14" x14ac:dyDescent="0.25">
      <c r="A156" s="272"/>
      <c r="B156" s="122"/>
      <c r="C156" s="114" t="s">
        <v>905</v>
      </c>
      <c r="D156" s="115" t="e">
        <f>'WZ Analysis (Worksheet)'!D213</f>
        <v>#DIV/0!</v>
      </c>
      <c r="E156" s="115" t="e">
        <f>'WZ Analysis (Worksheet)'!E213</f>
        <v>#DIV/0!</v>
      </c>
      <c r="F156" s="115" t="e">
        <f>'WZ Analysis (Worksheet)'!F213</f>
        <v>#DIV/0!</v>
      </c>
      <c r="G156" s="173"/>
      <c r="H156" s="173"/>
      <c r="I156" s="2"/>
      <c r="J156" s="2"/>
      <c r="K156" s="2"/>
      <c r="L156" s="2"/>
      <c r="M156" s="2"/>
      <c r="N156" s="159"/>
    </row>
    <row r="157" spans="1:14" ht="13.8" thickBot="1" x14ac:dyDescent="0.3">
      <c r="A157" s="273"/>
      <c r="B157" s="161"/>
      <c r="C157" s="162"/>
      <c r="D157" s="162"/>
      <c r="E157" s="162"/>
      <c r="F157" s="12"/>
      <c r="G157" s="174"/>
      <c r="H157" s="174"/>
      <c r="I157" s="12"/>
      <c r="J157" s="12"/>
      <c r="K157" s="12"/>
      <c r="L157" s="12"/>
      <c r="M157" s="12"/>
      <c r="N157" s="163"/>
    </row>
  </sheetData>
  <sheetProtection sheet="1" objects="1" scenarios="1"/>
  <mergeCells count="71">
    <mergeCell ref="A137:A157"/>
    <mergeCell ref="E139:F139"/>
    <mergeCell ref="D142:F142"/>
    <mergeCell ref="D143:F143"/>
    <mergeCell ref="D144:F144"/>
    <mergeCell ref="D145:F145"/>
    <mergeCell ref="D146:F146"/>
    <mergeCell ref="D148:F148"/>
    <mergeCell ref="D149:F149"/>
    <mergeCell ref="D150:F150"/>
    <mergeCell ref="A115:A135"/>
    <mergeCell ref="E117:F117"/>
    <mergeCell ref="D120:F120"/>
    <mergeCell ref="D121:F121"/>
    <mergeCell ref="D122:F122"/>
    <mergeCell ref="D123:F123"/>
    <mergeCell ref="D124:F124"/>
    <mergeCell ref="D126:F126"/>
    <mergeCell ref="D127:F127"/>
    <mergeCell ref="D128:F128"/>
    <mergeCell ref="A93:A113"/>
    <mergeCell ref="E95:F95"/>
    <mergeCell ref="D98:F98"/>
    <mergeCell ref="D99:F99"/>
    <mergeCell ref="D100:F100"/>
    <mergeCell ref="D101:F101"/>
    <mergeCell ref="D102:F102"/>
    <mergeCell ref="D104:F104"/>
    <mergeCell ref="D105:F105"/>
    <mergeCell ref="D106:F106"/>
    <mergeCell ref="A71:A91"/>
    <mergeCell ref="E73:F73"/>
    <mergeCell ref="D76:F76"/>
    <mergeCell ref="D77:F77"/>
    <mergeCell ref="D78:F78"/>
    <mergeCell ref="D79:F79"/>
    <mergeCell ref="D80:F80"/>
    <mergeCell ref="D82:F82"/>
    <mergeCell ref="D83:F83"/>
    <mergeCell ref="D84:F84"/>
    <mergeCell ref="A49:A69"/>
    <mergeCell ref="E51:F51"/>
    <mergeCell ref="D54:F54"/>
    <mergeCell ref="D55:F55"/>
    <mergeCell ref="D56:F56"/>
    <mergeCell ref="D57:F57"/>
    <mergeCell ref="D58:F58"/>
    <mergeCell ref="D60:F60"/>
    <mergeCell ref="D61:F61"/>
    <mergeCell ref="D62:F62"/>
    <mergeCell ref="A5:A25"/>
    <mergeCell ref="E7:F7"/>
    <mergeCell ref="A1:N1"/>
    <mergeCell ref="D10:F10"/>
    <mergeCell ref="A27:A47"/>
    <mergeCell ref="E29:F29"/>
    <mergeCell ref="D32:F32"/>
    <mergeCell ref="D33:F33"/>
    <mergeCell ref="D34:F34"/>
    <mergeCell ref="D35:F35"/>
    <mergeCell ref="D36:F36"/>
    <mergeCell ref="D38:F38"/>
    <mergeCell ref="D39:F39"/>
    <mergeCell ref="D40:F40"/>
    <mergeCell ref="D11:F11"/>
    <mergeCell ref="D18:F18"/>
    <mergeCell ref="D17:F17"/>
    <mergeCell ref="D16:F16"/>
    <mergeCell ref="D14:F14"/>
    <mergeCell ref="D13:F13"/>
    <mergeCell ref="D12:F12"/>
  </mergeCells>
  <conditionalFormatting sqref="D12:D13 D16:D17 E15">
    <cfRule type="expression" dxfId="27" priority="33">
      <formula>$D$18=0</formula>
    </cfRule>
  </conditionalFormatting>
  <conditionalFormatting sqref="E15">
    <cfRule type="expression" dxfId="26" priority="35">
      <formula>$E$15&lt;&gt;0</formula>
    </cfRule>
  </conditionalFormatting>
  <conditionalFormatting sqref="D34:D35 D38:D39 E37">
    <cfRule type="expression" dxfId="25" priority="24">
      <formula>$D$40=0</formula>
    </cfRule>
  </conditionalFormatting>
  <conditionalFormatting sqref="E37">
    <cfRule type="expression" dxfId="24" priority="25">
      <formula>$E$37&lt;&gt;0</formula>
    </cfRule>
  </conditionalFormatting>
  <conditionalFormatting sqref="D32">
    <cfRule type="expression" dxfId="23" priority="22">
      <formula>$D$40=0</formula>
    </cfRule>
  </conditionalFormatting>
  <conditionalFormatting sqref="D10">
    <cfRule type="expression" dxfId="22" priority="21">
      <formula>$D$18=0</formula>
    </cfRule>
  </conditionalFormatting>
  <conditionalFormatting sqref="D56:D57 D60:D61 E59">
    <cfRule type="expression" dxfId="21" priority="19">
      <formula>$D$62=0</formula>
    </cfRule>
  </conditionalFormatting>
  <conditionalFormatting sqref="E59">
    <cfRule type="expression" dxfId="20" priority="20">
      <formula>$E$59&lt;&gt;0</formula>
    </cfRule>
  </conditionalFormatting>
  <conditionalFormatting sqref="D54">
    <cfRule type="expression" dxfId="19" priority="17">
      <formula>$D$62=0</formula>
    </cfRule>
  </conditionalFormatting>
  <conditionalFormatting sqref="D76">
    <cfRule type="expression" dxfId="18" priority="13">
      <formula>$D$84=0</formula>
    </cfRule>
  </conditionalFormatting>
  <conditionalFormatting sqref="D78:D79 D82:D83 E81">
    <cfRule type="expression" dxfId="17" priority="15">
      <formula>$D$84=0</formula>
    </cfRule>
  </conditionalFormatting>
  <conditionalFormatting sqref="E81">
    <cfRule type="expression" dxfId="16" priority="16">
      <formula>$E$81&lt;&gt;0</formula>
    </cfRule>
  </conditionalFormatting>
  <conditionalFormatting sqref="D98">
    <cfRule type="expression" dxfId="15" priority="9">
      <formula>$D$106=0</formula>
    </cfRule>
  </conditionalFormatting>
  <conditionalFormatting sqref="D100:D101 D104:D105 E103">
    <cfRule type="expression" dxfId="14" priority="11">
      <formula>$D$106=0</formula>
    </cfRule>
  </conditionalFormatting>
  <conditionalFormatting sqref="E103">
    <cfRule type="expression" dxfId="13" priority="12">
      <formula>$E$103&lt;&gt;0</formula>
    </cfRule>
  </conditionalFormatting>
  <conditionalFormatting sqref="D120">
    <cfRule type="expression" dxfId="12" priority="5">
      <formula>$D$128=0</formula>
    </cfRule>
  </conditionalFormatting>
  <conditionalFormatting sqref="D122:D123 D126:D127 E125">
    <cfRule type="expression" dxfId="11" priority="7">
      <formula>$D$128=0</formula>
    </cfRule>
  </conditionalFormatting>
  <conditionalFormatting sqref="E125">
    <cfRule type="expression" dxfId="10" priority="8">
      <formula>$E$125&lt;&gt;0</formula>
    </cfRule>
  </conditionalFormatting>
  <conditionalFormatting sqref="D142">
    <cfRule type="expression" dxfId="9" priority="1">
      <formula>$D$150=0</formula>
    </cfRule>
  </conditionalFormatting>
  <conditionalFormatting sqref="D144:D145 D148:D149 E147">
    <cfRule type="expression" dxfId="8" priority="3">
      <formula>$D$150=0</formula>
    </cfRule>
  </conditionalFormatting>
  <conditionalFormatting sqref="E147">
    <cfRule type="expression" dxfId="7" priority="4">
      <formula>$E$147&lt;&gt;0</formula>
    </cfRule>
  </conditionalFormatting>
  <pageMargins left="0.75" right="0.75" top="1" bottom="1" header="0.5" footer="0.5"/>
  <pageSetup paperSize="17" scale="72" fitToHeight="0"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2" id="{233009CC-E2A8-453D-8C8C-1FCAB5333DA1}">
            <xm:f>$D$11='Reference Sheet'!$R$2</xm:f>
            <x14:dxf>
              <font>
                <b/>
                <i val="0"/>
              </font>
              <fill>
                <patternFill>
                  <bgColor rgb="FF00B0F0"/>
                </patternFill>
              </fill>
            </x14:dxf>
          </x14:cfRule>
          <xm:sqref>D11:F11</xm:sqref>
        </x14:conditionalFormatting>
        <x14:conditionalFormatting xmlns:xm="http://schemas.microsoft.com/office/excel/2006/main">
          <x14:cfRule type="expression" priority="23" id="{2E4B0A7D-036F-48CD-9C1F-21FEA80D69A3}">
            <xm:f>$D$33='Reference Sheet'!$R$2</xm:f>
            <x14:dxf>
              <font>
                <b/>
                <i val="0"/>
              </font>
              <fill>
                <patternFill>
                  <bgColor rgb="FF00B0F0"/>
                </patternFill>
              </fill>
            </x14:dxf>
          </x14:cfRule>
          <xm:sqref>D33:F33</xm:sqref>
        </x14:conditionalFormatting>
        <x14:conditionalFormatting xmlns:xm="http://schemas.microsoft.com/office/excel/2006/main">
          <x14:cfRule type="expression" priority="18" id="{AB2DC669-813D-4DA9-8C66-3B2DB6304E90}">
            <xm:f>$D$55='Reference Sheet'!$R$2</xm:f>
            <x14:dxf>
              <font>
                <b/>
                <i val="0"/>
              </font>
              <fill>
                <patternFill>
                  <bgColor rgb="FF00B0F0"/>
                </patternFill>
              </fill>
            </x14:dxf>
          </x14:cfRule>
          <xm:sqref>D55:F55</xm:sqref>
        </x14:conditionalFormatting>
        <x14:conditionalFormatting xmlns:xm="http://schemas.microsoft.com/office/excel/2006/main">
          <x14:cfRule type="expression" priority="14" id="{48D9844B-6D26-494D-8BBD-431CF178C512}">
            <xm:f>$D$77='Reference Sheet'!$R$2</xm:f>
            <x14:dxf>
              <font>
                <b/>
                <i val="0"/>
              </font>
              <fill>
                <patternFill>
                  <bgColor rgb="FF00B0F0"/>
                </patternFill>
              </fill>
            </x14:dxf>
          </x14:cfRule>
          <xm:sqref>D77:F77</xm:sqref>
        </x14:conditionalFormatting>
        <x14:conditionalFormatting xmlns:xm="http://schemas.microsoft.com/office/excel/2006/main">
          <x14:cfRule type="expression" priority="10" id="{2690ADA0-7DA6-41D0-8C52-775B70D4882D}">
            <xm:f>$D$99='Reference Sheet'!$R$2</xm:f>
            <x14:dxf>
              <font>
                <b/>
                <i val="0"/>
              </font>
              <fill>
                <patternFill>
                  <bgColor rgb="FF00B0F0"/>
                </patternFill>
              </fill>
            </x14:dxf>
          </x14:cfRule>
          <xm:sqref>D99:F99</xm:sqref>
        </x14:conditionalFormatting>
        <x14:conditionalFormatting xmlns:xm="http://schemas.microsoft.com/office/excel/2006/main">
          <x14:cfRule type="expression" priority="6" id="{1F8BE758-C425-46A5-B93D-61CDCA992505}">
            <xm:f>$D$121='Reference Sheet'!$R$2</xm:f>
            <x14:dxf>
              <font>
                <b/>
                <i val="0"/>
              </font>
              <fill>
                <patternFill>
                  <bgColor rgb="FF00B0F0"/>
                </patternFill>
              </fill>
            </x14:dxf>
          </x14:cfRule>
          <xm:sqref>D121:F121</xm:sqref>
        </x14:conditionalFormatting>
        <x14:conditionalFormatting xmlns:xm="http://schemas.microsoft.com/office/excel/2006/main">
          <x14:cfRule type="expression" priority="2" id="{0544447C-C96C-4922-9ABF-8E494563CF5B}">
            <xm:f>$D$143='Reference Sheet'!$R$2</xm:f>
            <x14:dxf>
              <font>
                <b/>
                <i val="0"/>
              </font>
              <fill>
                <patternFill>
                  <bgColor rgb="FF00B0F0"/>
                </patternFill>
              </fill>
            </x14:dxf>
          </x14:cfRule>
          <xm:sqref>D143:F143</xm:sqref>
        </x14:conditionalFormatting>
      </x14:conditionalFormattings>
    </ext>
    <ext xmlns:x14="http://schemas.microsoft.com/office/spreadsheetml/2009/9/main" uri="{CCE6A557-97BC-4b89-ADB6-D9C93CAAB3DF}">
      <x14:dataValidations xmlns:xm="http://schemas.microsoft.com/office/excel/2006/main" count="17">
        <x14:dataValidation type="list" allowBlank="1" showInputMessage="1" showErrorMessage="1">
          <x14:formula1>
            <xm:f>'WZ Analysis (Worksheet)'!$I$22:$I$45</xm:f>
          </x14:formula1>
          <xm:sqref>D16:F17 D38:F39 D60:F61 D82:F83 D104:F105 D126:F127 D148:F149</xm:sqref>
        </x14:dataValidation>
        <x14:dataValidation type="list" allowBlank="1" showInputMessage="1" showErrorMessage="1">
          <x14:formula1>
            <xm:f>'Reference Sheet'!$R$2:$R$8</xm:f>
          </x14:formula1>
          <xm:sqref>D11 D33 D55 D77 D99 D121 D143</xm:sqref>
        </x14:dataValidation>
        <x14:dataValidation type="list" allowBlank="1" showInputMessage="1" showErrorMessage="1">
          <x14:formula1>
            <xm:f>'HCM 2010 Program'!$B$6:$B$8</xm:f>
          </x14:formula1>
          <xm:sqref>D12 D34 D56 D78 D100 D122 D144</xm:sqref>
        </x14:dataValidation>
        <x14:dataValidation type="whole" allowBlank="1" showInputMessage="1" showErrorMessage="1">
          <x14:formula1>
            <xm:f>0</xm:f>
          </x14:formula1>
          <x14:formula2>
            <xm:f>'Step 2 - Facility Data Inputs'!A37</xm:f>
          </x14:formula2>
          <xm:sqref>D35</xm:sqref>
        </x14:dataValidation>
        <x14:dataValidation type="whole" allowBlank="1" showInputMessage="1" showErrorMessage="1">
          <x14:formula1>
            <xm:f>0</xm:f>
          </x14:formula1>
          <x14:formula2>
            <xm:f>'Step 2 - Facility Data Inputs'!A59</xm:f>
          </x14:formula2>
          <xm:sqref>D57</xm:sqref>
        </x14:dataValidation>
        <x14:dataValidation type="whole" allowBlank="1" showInputMessage="1" showErrorMessage="1">
          <x14:formula1>
            <xm:f>0</xm:f>
          </x14:formula1>
          <x14:formula2>
            <xm:f>'Step 2 - Facility Data Inputs'!A81</xm:f>
          </x14:formula2>
          <xm:sqref>D79</xm:sqref>
        </x14:dataValidation>
        <x14:dataValidation type="whole" allowBlank="1" showInputMessage="1" showErrorMessage="1">
          <x14:formula1>
            <xm:f>0</xm:f>
          </x14:formula1>
          <x14:formula2>
            <xm:f>'Step 2 - Facility Data Inputs'!A103</xm:f>
          </x14:formula2>
          <xm:sqref>D101</xm:sqref>
        </x14:dataValidation>
        <x14:dataValidation type="whole" allowBlank="1" showInputMessage="1" showErrorMessage="1">
          <x14:formula1>
            <xm:f>0</xm:f>
          </x14:formula1>
          <x14:formula2>
            <xm:f>'Step 2 - Facility Data Inputs'!A125</xm:f>
          </x14:formula2>
          <xm:sqref>D123</xm:sqref>
        </x14:dataValidation>
        <x14:dataValidation type="whole" allowBlank="1" showInputMessage="1" showErrorMessage="1">
          <x14:formula1>
            <xm:f>0</xm:f>
          </x14:formula1>
          <x14:formula2>
            <xm:f>'Step 2 - Facility Data Inputs'!A147</xm:f>
          </x14:formula2>
          <xm:sqref>D145</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(Worksheet)'!D22*'WZ Analysis (Worksheet)'!D28</xm:f>
          </x14:formula2>
          <xm:sqref>E15</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(Worksheet)'!D51*'WZ Analysis (Worksheet)'!D57</xm:f>
          </x14:formula2>
          <xm:sqref>E37</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(Worksheet)'!D80*'WZ Analysis (Worksheet)'!D86</xm:f>
          </x14:formula2>
          <xm:sqref>E59</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(Worksheet)'!D109*'WZ Analysis (Worksheet)'!D115</xm:f>
          </x14:formula2>
          <xm:sqref>E81</xm:sqref>
        </x14:dataValidation>
        <x14:dataValidation type="whole" allowBlank="1" showInputMessage="1" showErrorMessage="1">
          <x14:formula1>
            <xm:f>0</xm:f>
          </x14:formula1>
          <x14:formula2>
            <xm:f>'Step 2 - Facility Data Inputs'!A12</xm:f>
          </x14:formula2>
          <xm:sqref>D13</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(Worksheet)'!D138*'WZ Analysis (Worksheet)'!D144</xm:f>
          </x14:formula2>
          <xm:sqref>E103</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(Worksheet)'!D167*'WZ Analysis (Worksheet)'!D173</xm:f>
          </x14:formula2>
          <xm:sqref>E125</xm:sqref>
        </x14:dataValidation>
        <x14:dataValidation type="whole" allowBlank="1" showInputMessage="1" showErrorMessage="1" errorTitle="Error" error="USER DEFINED Work Zone Capacity must be between 0 and the Base Conditions Capacity for the number of open lanes.  Typically, the Work Zone Capacity will not fluxuate by more than +/- 10% of the ESTIMATED Work Zone Capacity.">
          <x14:formula1>
            <xm:f>0</xm:f>
          </x14:formula1>
          <x14:formula2>
            <xm:f>'WZ Analysis (Worksheet)'!D196*'WZ Analysis (Worksheet)'!D202</xm:f>
          </x14:formula2>
          <xm:sqref>E147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showGridLines="0" workbookViewId="0">
      <selection activeCell="A4" sqref="A4:A9"/>
    </sheetView>
  </sheetViews>
  <sheetFormatPr defaultRowHeight="13.2" x14ac:dyDescent="0.25"/>
  <cols>
    <col min="1" max="1" width="6.6640625" customWidth="1"/>
    <col min="2" max="2" width="30.6640625" customWidth="1"/>
    <col min="3" max="3" width="20.6640625" style="53" customWidth="1"/>
    <col min="4" max="4" width="2.6640625" customWidth="1"/>
    <col min="5" max="16" width="12.6640625" customWidth="1"/>
  </cols>
  <sheetData>
    <row r="1" spans="1:14" ht="45" customHeight="1" x14ac:dyDescent="0.25">
      <c r="A1" s="247" t="s">
        <v>907</v>
      </c>
      <c r="B1" s="247"/>
      <c r="C1" s="247"/>
      <c r="D1" s="247"/>
      <c r="E1" s="247"/>
      <c r="F1" s="247"/>
      <c r="G1" s="247"/>
      <c r="H1" s="247"/>
      <c r="I1" s="247"/>
      <c r="J1" s="247"/>
      <c r="K1" s="247"/>
      <c r="L1" s="247"/>
      <c r="M1" s="247"/>
      <c r="N1" s="247"/>
    </row>
    <row r="2" spans="1:14" ht="32.1" customHeight="1" x14ac:dyDescent="0.25">
      <c r="A2" s="128" t="str">
        <f>CONCATENATE("District: ",'Step 2 - Facility Data Inputs'!A6,"      Route: ",'Step 2 - Facility Data Inputs'!E6,"     County: ",'Step 2 - Facility Data Inputs'!G6,"      Job No.: ",'Step 2 - Facility Data Inputs'!I6)</f>
        <v xml:space="preserve">District:       Route:      County:       Job No.: </v>
      </c>
      <c r="B2" s="129"/>
      <c r="C2" s="61"/>
      <c r="D2" s="61"/>
      <c r="E2" s="61"/>
      <c r="F2" s="130"/>
      <c r="G2" s="170"/>
      <c r="H2" s="170"/>
      <c r="I2" s="130"/>
      <c r="J2" s="130"/>
      <c r="K2" s="130"/>
      <c r="L2" s="130"/>
      <c r="M2" s="130"/>
      <c r="N2" s="130"/>
    </row>
    <row r="3" spans="1:14" ht="6.9" customHeight="1" x14ac:dyDescent="0.25">
      <c r="A3" s="110" t="str">
        <f>CONCATENATE('Step 2 - Facility Data Inputs'!E19," (",TEXT('Step 2 - Facility Data Inputs'!E20,"m/d/yy"),") ",B4)</f>
        <v>Sunday () No Work Zone</v>
      </c>
    </row>
    <row r="4" spans="1:14" ht="15" customHeight="1" x14ac:dyDescent="0.25">
      <c r="A4" s="291" t="str">
        <f>CONCATENATE('Step 2 - Facility Data Inputs'!E19,"
(",TEXT('Step 2 - Facility Data Inputs'!E20,"m/d/yy"),")")</f>
        <v>Sunday
()</v>
      </c>
      <c r="B4" s="289" t="str">
        <f>IF('Step 3 - WZ Analysis'!D10="(Example: Pothole Patching - Close One Lane OR Joint Repair - Two Lanes Closed)",IF('Step 3 - WZ Analysis'!D11='Reference Sheet'!$R$2,"No Work Zone",'Step 3 - WZ Analysis'!D11),'Step 3 - WZ Analysis'!D10)</f>
        <v>No Work Zone</v>
      </c>
      <c r="C4" s="290"/>
    </row>
    <row r="5" spans="1:14" ht="15" customHeight="1" x14ac:dyDescent="0.25">
      <c r="A5" s="292"/>
      <c r="B5" s="183" t="str">
        <f>'Step 3 - WZ Analysis'!C22</f>
        <v>Max Queue Length (mi):</v>
      </c>
      <c r="C5" s="196" t="e">
        <f>'Step 3 - WZ Analysis'!F22</f>
        <v>#DIV/0!</v>
      </c>
    </row>
    <row r="6" spans="1:14" ht="15" customHeight="1" x14ac:dyDescent="0.25">
      <c r="A6" s="292"/>
      <c r="B6" s="120" t="str">
        <f>'Step 3 - WZ Analysis'!C23</f>
        <v>Max Delay (minutes):</v>
      </c>
      <c r="C6" s="193">
        <f>'Step 3 - WZ Analysis'!F23</f>
        <v>0</v>
      </c>
    </row>
    <row r="7" spans="1:14" ht="15" customHeight="1" x14ac:dyDescent="0.25">
      <c r="A7" s="292"/>
      <c r="B7" s="120" t="s">
        <v>943</v>
      </c>
      <c r="C7" s="182" t="e">
        <f>'Step 3 - WZ Analysis'!E24</f>
        <v>#DIV/0!</v>
      </c>
    </row>
    <row r="8" spans="1:14" ht="15" customHeight="1" x14ac:dyDescent="0.25">
      <c r="A8" s="292"/>
      <c r="B8" s="120" t="str">
        <f>'Step 3 - WZ Analysis'!C16</f>
        <v>Start Time:</v>
      </c>
      <c r="C8" s="181" t="str">
        <f>IF(C9=0,"N/A",'Step 3 - WZ Analysis'!D16)</f>
        <v>N/A</v>
      </c>
    </row>
    <row r="9" spans="1:14" ht="15" customHeight="1" x14ac:dyDescent="0.25">
      <c r="A9" s="293"/>
      <c r="B9" s="120" t="str">
        <f>'Step 3 - WZ Analysis'!C18</f>
        <v>Duration of Closure (hrs):</v>
      </c>
      <c r="C9" s="193">
        <f>'Step 3 - WZ Analysis'!D18</f>
        <v>0</v>
      </c>
    </row>
    <row r="10" spans="1:14" ht="6.9" customHeight="1" x14ac:dyDescent="0.25">
      <c r="A10" s="110" t="str">
        <f>CONCATENATE('Step 2 - Facility Data Inputs'!F19," (",TEXT('Step 2 - Facility Data Inputs'!F20,"m/d/yy"),") ",B11)</f>
        <v>Monday () No Work Zone</v>
      </c>
    </row>
    <row r="11" spans="1:14" ht="15" customHeight="1" x14ac:dyDescent="0.25">
      <c r="A11" s="291" t="str">
        <f>CONCATENATE('Step 2 - Facility Data Inputs'!F19,"
(",TEXT('Step 2 - Facility Data Inputs'!F20,"m/d/yy"),")")</f>
        <v>Monday
()</v>
      </c>
      <c r="B11" s="289" t="str">
        <f>IF('Step 3 - WZ Analysis'!D32="(Example: Pothole Patching - Close One Lane OR Joint Repair - Two Lanes Closed)",IF('Step 3 - WZ Analysis'!D33='Reference Sheet'!$R$2,"No Work Zone",'Step 3 - WZ Analysis'!D33),'Step 3 - WZ Analysis'!D32)</f>
        <v>No Work Zone</v>
      </c>
      <c r="C11" s="290"/>
    </row>
    <row r="12" spans="1:14" ht="15" customHeight="1" x14ac:dyDescent="0.25">
      <c r="A12" s="292"/>
      <c r="B12" s="183" t="str">
        <f>'Step 3 - WZ Analysis'!C44</f>
        <v>Max Queue Length (mi):</v>
      </c>
      <c r="C12" s="196" t="e">
        <f>'Step 3 - WZ Analysis'!F44</f>
        <v>#DIV/0!</v>
      </c>
    </row>
    <row r="13" spans="1:14" ht="15" customHeight="1" x14ac:dyDescent="0.25">
      <c r="A13" s="292"/>
      <c r="B13" s="120" t="str">
        <f>'Step 3 - WZ Analysis'!C45</f>
        <v>Max Delay (minutes):</v>
      </c>
      <c r="C13" s="193">
        <f>'Step 3 - WZ Analysis'!F45</f>
        <v>0</v>
      </c>
    </row>
    <row r="14" spans="1:14" ht="15" customHeight="1" x14ac:dyDescent="0.25">
      <c r="A14" s="292"/>
      <c r="B14" s="120" t="s">
        <v>943</v>
      </c>
      <c r="C14" s="182" t="e">
        <f>'Step 3 - WZ Analysis'!E46</f>
        <v>#DIV/0!</v>
      </c>
    </row>
    <row r="15" spans="1:14" ht="15" customHeight="1" x14ac:dyDescent="0.25">
      <c r="A15" s="292"/>
      <c r="B15" s="120" t="str">
        <f>'Step 3 - WZ Analysis'!C38</f>
        <v>Start Time:</v>
      </c>
      <c r="C15" s="181" t="str">
        <f>IF(C16=0,"N/A",'Step 3 - WZ Analysis'!D38)</f>
        <v>N/A</v>
      </c>
    </row>
    <row r="16" spans="1:14" ht="15" customHeight="1" x14ac:dyDescent="0.25">
      <c r="A16" s="293"/>
      <c r="B16" s="120" t="str">
        <f>'Step 3 - WZ Analysis'!C40</f>
        <v>Duration of Closure (hrs):</v>
      </c>
      <c r="C16" s="193">
        <f>'Step 3 - WZ Analysis'!D40</f>
        <v>0</v>
      </c>
    </row>
    <row r="17" spans="1:3" ht="6.9" customHeight="1" x14ac:dyDescent="0.25">
      <c r="A17" s="110" t="str">
        <f>CONCATENATE('Step 2 - Facility Data Inputs'!G$19," (",TEXT('Step 2 - Facility Data Inputs'!G$20,"m/d/yy"),") ",B18)</f>
        <v>Tuesday () No Work Zone</v>
      </c>
    </row>
    <row r="18" spans="1:3" ht="15" customHeight="1" x14ac:dyDescent="0.25">
      <c r="A18" s="291" t="str">
        <f>CONCATENATE('Step 2 - Facility Data Inputs'!G19,"
(",TEXT('Step 2 - Facility Data Inputs'!G20,"m/d/yy"),")")</f>
        <v>Tuesday
()</v>
      </c>
      <c r="B18" s="289" t="str">
        <f>IF('Step 3 - WZ Analysis'!D54="(Example: Pothole Patching - Close One Lane OR Joint Repair - Two Lanes Closed)",IF('Step 3 - WZ Analysis'!D55='Reference Sheet'!$R$2,"No Work Zone",'Step 3 - WZ Analysis'!D55),'Step 3 - WZ Analysis'!D54)</f>
        <v>No Work Zone</v>
      </c>
      <c r="C18" s="290"/>
    </row>
    <row r="19" spans="1:3" ht="15" customHeight="1" x14ac:dyDescent="0.25">
      <c r="A19" s="292"/>
      <c r="B19" s="183" t="s">
        <v>903</v>
      </c>
      <c r="C19" s="196" t="e">
        <f>'Step 3 - WZ Analysis'!F66</f>
        <v>#DIV/0!</v>
      </c>
    </row>
    <row r="20" spans="1:3" ht="15" customHeight="1" x14ac:dyDescent="0.25">
      <c r="A20" s="292"/>
      <c r="B20" s="120" t="s">
        <v>904</v>
      </c>
      <c r="C20" s="193">
        <f>'Step 3 - WZ Analysis'!F67</f>
        <v>0</v>
      </c>
    </row>
    <row r="21" spans="1:3" ht="15" customHeight="1" x14ac:dyDescent="0.25">
      <c r="A21" s="292"/>
      <c r="B21" s="120" t="s">
        <v>943</v>
      </c>
      <c r="C21" s="182" t="e">
        <f>'Step 3 - WZ Analysis'!E68</f>
        <v>#DIV/0!</v>
      </c>
    </row>
    <row r="22" spans="1:3" ht="15" customHeight="1" x14ac:dyDescent="0.25">
      <c r="A22" s="292"/>
      <c r="B22" s="120" t="s">
        <v>900</v>
      </c>
      <c r="C22" s="181" t="str">
        <f>IF(C23=0,"N/A",'Step 3 - WZ Analysis'!D60)</f>
        <v>N/A</v>
      </c>
    </row>
    <row r="23" spans="1:3" ht="15" customHeight="1" x14ac:dyDescent="0.25">
      <c r="A23" s="293"/>
      <c r="B23" s="120" t="s">
        <v>926</v>
      </c>
      <c r="C23" s="193">
        <f>'Step 3 - WZ Analysis'!D62</f>
        <v>0</v>
      </c>
    </row>
    <row r="24" spans="1:3" ht="6.9" customHeight="1" x14ac:dyDescent="0.25">
      <c r="A24" s="110" t="str">
        <f>CONCATENATE('Step 2 - Facility Data Inputs'!H$19," (",TEXT('Step 2 - Facility Data Inputs'!H$20,"m/d/yy"),") ",B25)</f>
        <v>Wednesday () No Work Zone</v>
      </c>
    </row>
    <row r="25" spans="1:3" ht="15" customHeight="1" x14ac:dyDescent="0.25">
      <c r="A25" s="291" t="str">
        <f>CONCATENATE('Step 2 - Facility Data Inputs'!H19,"
(",TEXT('Step 2 - Facility Data Inputs'!H20,"m/d/yy"),")")</f>
        <v>Wednesday
()</v>
      </c>
      <c r="B25" s="289" t="str">
        <f>IF('Step 3 - WZ Analysis'!D76="(Example: Pothole Patching - Close One Lane OR Joint Repair - Two Lanes Closed)",IF('Step 3 - WZ Analysis'!D77='Reference Sheet'!$R$2,"No Work Zone",'Step 3 - WZ Analysis'!D77),'Step 3 - WZ Analysis'!D76)</f>
        <v>No Work Zone</v>
      </c>
      <c r="C25" s="290"/>
    </row>
    <row r="26" spans="1:3" ht="15" customHeight="1" x14ac:dyDescent="0.25">
      <c r="A26" s="292"/>
      <c r="B26" s="183" t="s">
        <v>903</v>
      </c>
      <c r="C26" s="196" t="e">
        <f>'Step 3 - WZ Analysis'!F88</f>
        <v>#DIV/0!</v>
      </c>
    </row>
    <row r="27" spans="1:3" ht="15" customHeight="1" x14ac:dyDescent="0.25">
      <c r="A27" s="292"/>
      <c r="B27" s="120" t="s">
        <v>904</v>
      </c>
      <c r="C27" s="193">
        <f>'Step 3 - WZ Analysis'!F89</f>
        <v>0</v>
      </c>
    </row>
    <row r="28" spans="1:3" ht="15" customHeight="1" x14ac:dyDescent="0.25">
      <c r="A28" s="292"/>
      <c r="B28" s="120" t="s">
        <v>943</v>
      </c>
      <c r="C28" s="182" t="e">
        <f>'Step 3 - WZ Analysis'!E90</f>
        <v>#DIV/0!</v>
      </c>
    </row>
    <row r="29" spans="1:3" ht="15" customHeight="1" x14ac:dyDescent="0.25">
      <c r="A29" s="292"/>
      <c r="B29" s="120" t="s">
        <v>900</v>
      </c>
      <c r="C29" s="181" t="str">
        <f>IF(C30=0,"N/A",'Step 3 - WZ Analysis'!D82)</f>
        <v>N/A</v>
      </c>
    </row>
    <row r="30" spans="1:3" ht="15" customHeight="1" x14ac:dyDescent="0.25">
      <c r="A30" s="293"/>
      <c r="B30" s="120" t="s">
        <v>926</v>
      </c>
      <c r="C30" s="193">
        <f>'Step 3 - WZ Analysis'!D84</f>
        <v>0</v>
      </c>
    </row>
    <row r="31" spans="1:3" ht="6.9" customHeight="1" x14ac:dyDescent="0.25">
      <c r="A31" s="110" t="str">
        <f>CONCATENATE('Step 2 - Facility Data Inputs'!I$19," (",TEXT('Step 2 - Facility Data Inputs'!I$20,"m/d/yy"),") ",B32)</f>
        <v>Thursday () No Work Zone</v>
      </c>
    </row>
    <row r="32" spans="1:3" ht="15" customHeight="1" x14ac:dyDescent="0.25">
      <c r="A32" s="291" t="str">
        <f>CONCATENATE('Step 2 - Facility Data Inputs'!I19,"
(",TEXT('Step 2 - Facility Data Inputs'!I20,"m/d/yy"),")")</f>
        <v>Thursday
()</v>
      </c>
      <c r="B32" s="289" t="str">
        <f>IF('Step 3 - WZ Analysis'!D98="(Example: Pothole Patching - Close One Lane OR Joint Repair - Two Lanes Closed)",IF('Step 3 - WZ Analysis'!D99='Reference Sheet'!$R$2,"No Work Zone",'Step 3 - WZ Analysis'!D99),'Step 3 - WZ Analysis'!D98)</f>
        <v>No Work Zone</v>
      </c>
      <c r="C32" s="290"/>
    </row>
    <row r="33" spans="1:3" ht="15" customHeight="1" x14ac:dyDescent="0.25">
      <c r="A33" s="292"/>
      <c r="B33" s="183" t="s">
        <v>903</v>
      </c>
      <c r="C33" s="196" t="e">
        <f>'Step 3 - WZ Analysis'!F110</f>
        <v>#DIV/0!</v>
      </c>
    </row>
    <row r="34" spans="1:3" ht="15" customHeight="1" x14ac:dyDescent="0.25">
      <c r="A34" s="292"/>
      <c r="B34" s="120" t="s">
        <v>904</v>
      </c>
      <c r="C34" s="193">
        <f>'Step 3 - WZ Analysis'!F111</f>
        <v>0</v>
      </c>
    </row>
    <row r="35" spans="1:3" ht="15" customHeight="1" x14ac:dyDescent="0.25">
      <c r="A35" s="292"/>
      <c r="B35" s="120" t="s">
        <v>943</v>
      </c>
      <c r="C35" s="182" t="e">
        <f>'Step 3 - WZ Analysis'!E112</f>
        <v>#DIV/0!</v>
      </c>
    </row>
    <row r="36" spans="1:3" ht="15" customHeight="1" x14ac:dyDescent="0.25">
      <c r="A36" s="292"/>
      <c r="B36" s="120" t="s">
        <v>900</v>
      </c>
      <c r="C36" s="181" t="str">
        <f>IF(C37=0,"N/A",'Step 3 - WZ Analysis'!D104)</f>
        <v>N/A</v>
      </c>
    </row>
    <row r="37" spans="1:3" ht="15" customHeight="1" x14ac:dyDescent="0.25">
      <c r="A37" s="293"/>
      <c r="B37" s="120" t="s">
        <v>926</v>
      </c>
      <c r="C37" s="193">
        <f>'Step 3 - WZ Analysis'!D106</f>
        <v>0</v>
      </c>
    </row>
    <row r="38" spans="1:3" ht="6.9" customHeight="1" x14ac:dyDescent="0.25">
      <c r="A38" s="110" t="str">
        <f>CONCATENATE('Step 2 - Facility Data Inputs'!J$19," (",TEXT('Step 2 - Facility Data Inputs'!J$20,"m/d/yy"),") ",B39)</f>
        <v>Friday () No Work Zone</v>
      </c>
    </row>
    <row r="39" spans="1:3" ht="15" customHeight="1" x14ac:dyDescent="0.25">
      <c r="A39" s="291" t="str">
        <f>CONCATENATE('Step 2 - Facility Data Inputs'!J19,"
(",TEXT('Step 2 - Facility Data Inputs'!J20,"m/d/yy"),")")</f>
        <v>Friday
()</v>
      </c>
      <c r="B39" s="289" t="str">
        <f>IF('Step 3 - WZ Analysis'!D120="(Example: Pothole Patching - Close One Lane OR Joint Repair - Two Lanes Closed)",IF('Step 3 - WZ Analysis'!D121='Reference Sheet'!$R$2,"No Work Zone",'Step 3 - WZ Analysis'!D121),'Step 3 - WZ Analysis'!D120)</f>
        <v>No Work Zone</v>
      </c>
      <c r="C39" s="290"/>
    </row>
    <row r="40" spans="1:3" ht="15" customHeight="1" x14ac:dyDescent="0.25">
      <c r="A40" s="292"/>
      <c r="B40" s="183" t="s">
        <v>903</v>
      </c>
      <c r="C40" s="196" t="e">
        <f>'Step 3 - WZ Analysis'!F132</f>
        <v>#DIV/0!</v>
      </c>
    </row>
    <row r="41" spans="1:3" ht="15" customHeight="1" x14ac:dyDescent="0.25">
      <c r="A41" s="292"/>
      <c r="B41" s="120" t="s">
        <v>904</v>
      </c>
      <c r="C41" s="193">
        <f>'Step 3 - WZ Analysis'!F133</f>
        <v>0</v>
      </c>
    </row>
    <row r="42" spans="1:3" ht="15" customHeight="1" x14ac:dyDescent="0.25">
      <c r="A42" s="292"/>
      <c r="B42" s="120" t="s">
        <v>943</v>
      </c>
      <c r="C42" s="182" t="e">
        <f>'Step 3 - WZ Analysis'!E134</f>
        <v>#DIV/0!</v>
      </c>
    </row>
    <row r="43" spans="1:3" ht="15" customHeight="1" x14ac:dyDescent="0.25">
      <c r="A43" s="292"/>
      <c r="B43" s="120" t="s">
        <v>900</v>
      </c>
      <c r="C43" s="181" t="str">
        <f>IF(C44=0,"N/A",'Step 3 - WZ Analysis'!D126)</f>
        <v>N/A</v>
      </c>
    </row>
    <row r="44" spans="1:3" ht="15" customHeight="1" x14ac:dyDescent="0.25">
      <c r="A44" s="293"/>
      <c r="B44" s="120" t="s">
        <v>926</v>
      </c>
      <c r="C44" s="193">
        <f>'Step 3 - WZ Analysis'!D128</f>
        <v>0</v>
      </c>
    </row>
    <row r="45" spans="1:3" ht="6.9" customHeight="1" x14ac:dyDescent="0.25">
      <c r="A45" s="110" t="str">
        <f>CONCATENATE('Step 2 - Facility Data Inputs'!K$19," (",TEXT('Step 2 - Facility Data Inputs'!K$20,"m/d/yy"),") ",B46)</f>
        <v>Saturday () No Work Zone</v>
      </c>
    </row>
    <row r="46" spans="1:3" ht="15" customHeight="1" x14ac:dyDescent="0.25">
      <c r="A46" s="291" t="str">
        <f>CONCATENATE('Step 2 - Facility Data Inputs'!K19,"
(",TEXT('Step 2 - Facility Data Inputs'!K20,"m/d/yy"),")")</f>
        <v>Saturday
()</v>
      </c>
      <c r="B46" s="289" t="str">
        <f>IF('Step 3 - WZ Analysis'!D142="(Example: Pothole Patching - Close One Lane OR Joint Repair - Two Lanes Closed)",IF('Step 3 - WZ Analysis'!D143='Reference Sheet'!$R$2,"No Work Zone",'Step 3 - WZ Analysis'!D143),'Step 3 - WZ Analysis'!D142)</f>
        <v>No Work Zone</v>
      </c>
      <c r="C46" s="290"/>
    </row>
    <row r="47" spans="1:3" ht="15" customHeight="1" x14ac:dyDescent="0.25">
      <c r="A47" s="292"/>
      <c r="B47" s="183" t="s">
        <v>903</v>
      </c>
      <c r="C47" s="196" t="e">
        <f>'Step 3 - WZ Analysis'!F154</f>
        <v>#DIV/0!</v>
      </c>
    </row>
    <row r="48" spans="1:3" ht="15" customHeight="1" x14ac:dyDescent="0.25">
      <c r="A48" s="292"/>
      <c r="B48" s="120" t="s">
        <v>904</v>
      </c>
      <c r="C48" s="193">
        <f>'Step 3 - WZ Analysis'!F155</f>
        <v>0</v>
      </c>
    </row>
    <row r="49" spans="1:3" ht="15" customHeight="1" x14ac:dyDescent="0.25">
      <c r="A49" s="292"/>
      <c r="B49" s="120" t="s">
        <v>943</v>
      </c>
      <c r="C49" s="182" t="e">
        <f>'Step 3 - WZ Analysis'!E156</f>
        <v>#DIV/0!</v>
      </c>
    </row>
    <row r="50" spans="1:3" ht="15" customHeight="1" x14ac:dyDescent="0.25">
      <c r="A50" s="292"/>
      <c r="B50" s="120" t="s">
        <v>900</v>
      </c>
      <c r="C50" s="181" t="str">
        <f>IF(C51=0,"N/A",'Step 3 - WZ Analysis'!D148)</f>
        <v>N/A</v>
      </c>
    </row>
    <row r="51" spans="1:3" ht="15" customHeight="1" x14ac:dyDescent="0.25">
      <c r="A51" s="293"/>
      <c r="B51" s="120" t="s">
        <v>926</v>
      </c>
      <c r="C51" s="193">
        <f>'Step 3 - WZ Analysis'!D150</f>
        <v>0</v>
      </c>
    </row>
  </sheetData>
  <sheetProtection sheet="1" objects="1" scenarios="1"/>
  <mergeCells count="15">
    <mergeCell ref="A1:N1"/>
    <mergeCell ref="B25:C25"/>
    <mergeCell ref="B32:C32"/>
    <mergeCell ref="B39:C39"/>
    <mergeCell ref="B46:C46"/>
    <mergeCell ref="A4:A9"/>
    <mergeCell ref="A11:A16"/>
    <mergeCell ref="A18:A23"/>
    <mergeCell ref="A25:A30"/>
    <mergeCell ref="A32:A37"/>
    <mergeCell ref="A39:A44"/>
    <mergeCell ref="A46:A51"/>
    <mergeCell ref="B4:C4"/>
    <mergeCell ref="B11:C11"/>
    <mergeCell ref="B18:C18"/>
  </mergeCells>
  <pageMargins left="0.45" right="0.45" top="0.5" bottom="0.5" header="0.05" footer="0.05"/>
  <pageSetup paperSize="17" scale="9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1FE1BFB54B2C47BE1BA8BC4347E852" ma:contentTypeVersion="1" ma:contentTypeDescription="Create a new document." ma:contentTypeScope="" ma:versionID="ceb799e2f561fa61e04ea0eecd2e203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1EC99A-B63C-4C4E-A968-599968160498}">
  <ds:schemaRefs>
    <ds:schemaRef ds:uri="http://schemas.microsoft.com/sharepoint/v3/contenttype/forms"/>
  </ds:schemaRefs>
</ds:datastoreItem>
</file>

<file path=customXml/itemProps2.xml><?xml version="1.0" encoding="utf-8"?>
<ds:datastoreItem xmlns:ds="http://schemas.openxmlformats.org/officeDocument/2006/customXml" ds:itemID="{FCE81CE5-9990-458E-B7CC-A2607BFF0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3912E7-618A-44E9-9C18-B4EED4215E54}">
  <ds:schemaRef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Reference Sheet</vt:lpstr>
      <vt:lpstr>HCM 2010 Program</vt:lpstr>
      <vt:lpstr>Step 1 - Introduction</vt:lpstr>
      <vt:lpstr>Step 2 - Facility Data Inputs</vt:lpstr>
      <vt:lpstr>WZ Analysis (Worksheet)</vt:lpstr>
      <vt:lpstr>Step 3 - WZ Analysis</vt:lpstr>
      <vt:lpstr>Step 4 - Synopsis Sheet</vt:lpstr>
      <vt:lpstr>'Step 4 - Synopsis Sheet'!Print_Area</vt:lpstr>
    </vt:vector>
  </TitlesOfParts>
  <Company>UMC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translab</dc:creator>
  <cp:lastModifiedBy>Keith Smith</cp:lastModifiedBy>
  <cp:lastPrinted>2015-02-06T19:00:10Z</cp:lastPrinted>
  <dcterms:created xsi:type="dcterms:W3CDTF">2008-09-13T20:11:28Z</dcterms:created>
  <dcterms:modified xsi:type="dcterms:W3CDTF">2015-05-11T15:10:47Z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0x010100991FE1BFB54B2C47BE1BA8BC4347E852</vt:lpwstr>
  </property>
</Properties>
</file>